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backupFile="1" codeName="ThisWorkbook"/>
  <mc:AlternateContent xmlns:mc="http://schemas.openxmlformats.org/markup-compatibility/2006">
    <mc:Choice Requires="x15">
      <x15ac:absPath xmlns:x15ac="http://schemas.microsoft.com/office/spreadsheetml/2010/11/ac" url="O:\sd_0212\Suchomel\"/>
    </mc:Choice>
  </mc:AlternateContent>
  <xr:revisionPtr revIDLastSave="0" documentId="13_ncr:1_{BA10786B-EAA0-4510-8848-F3697AC05FE3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vyse_duchodu" sheetId="1" r:id="rId1"/>
  </sheets>
  <definedNames>
    <definedName name="max">vyse_duchodu!$R$3</definedName>
    <definedName name="maxB">vyse_duchodu!$N$3</definedName>
    <definedName name="MTC">vyse_duchodu!$F$8:$V$48</definedName>
    <definedName name="odhad">vyse_duchodu!$F$54:$G$61</definedName>
    <definedName name="ovz">vyse_duchodu!$C$30</definedName>
    <definedName name="RP">vyse_duchodu!$D$3</definedName>
    <definedName name="US">vyse_duchodu!$K$3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9" i="1" l="1"/>
  <c r="Q49" i="1"/>
  <c r="P49" i="1" l="1"/>
  <c r="N49" i="1"/>
  <c r="M49" i="1"/>
  <c r="C31" i="1" s="1"/>
  <c r="A45" i="1" l="1"/>
  <c r="F54" i="1" l="1"/>
  <c r="F48" i="1"/>
  <c r="J48" i="1"/>
  <c r="J47" i="1"/>
  <c r="J43" i="1"/>
  <c r="A40" i="1" l="1"/>
  <c r="J46" i="1" l="1"/>
  <c r="J45" i="1"/>
  <c r="A41" i="1" l="1"/>
  <c r="A55" i="1"/>
  <c r="A53" i="1"/>
  <c r="A43" i="1"/>
  <c r="H50" i="1"/>
  <c r="M54" i="1"/>
  <c r="C34" i="1"/>
  <c r="T30" i="1"/>
  <c r="T31" i="1" s="1"/>
  <c r="D26" i="1"/>
  <c r="C28" i="1" s="1"/>
  <c r="A25" i="1"/>
  <c r="C23" i="1"/>
  <c r="D23" i="1" s="1"/>
  <c r="D22" i="1"/>
  <c r="D21" i="1"/>
  <c r="W19" i="1"/>
  <c r="C19" i="1"/>
  <c r="A19" i="1"/>
  <c r="C18" i="1"/>
  <c r="C15" i="1"/>
  <c r="A15" i="1"/>
  <c r="A14" i="1"/>
  <c r="C13" i="1"/>
  <c r="A13" i="1"/>
  <c r="A12" i="1"/>
  <c r="F9" i="1"/>
  <c r="W3" i="1"/>
  <c r="A38" i="1" s="1"/>
  <c r="K3" i="1"/>
  <c r="Q33" i="1" s="1"/>
  <c r="F10" i="1" l="1"/>
  <c r="U30" i="1"/>
  <c r="F55" i="1"/>
  <c r="T32" i="1"/>
  <c r="U31" i="1"/>
  <c r="D30" i="1"/>
  <c r="C29" i="1" s="1"/>
  <c r="D24" i="1"/>
  <c r="R33" i="1"/>
  <c r="P33" i="1"/>
  <c r="F11" i="1" l="1"/>
  <c r="F56" i="1"/>
  <c r="M56" i="1" s="1"/>
  <c r="M55" i="1"/>
  <c r="U32" i="1"/>
  <c r="T33" i="1"/>
  <c r="F12" i="1" l="1"/>
  <c r="F57" i="1"/>
  <c r="T34" i="1"/>
  <c r="U33" i="1"/>
  <c r="O33" i="1"/>
  <c r="M33" i="1"/>
  <c r="N33" i="1"/>
  <c r="F58" i="1" l="1"/>
  <c r="F13" i="1"/>
  <c r="M58" i="1"/>
  <c r="F59" i="1"/>
  <c r="M59" i="1" s="1"/>
  <c r="M57" i="1"/>
  <c r="U34" i="1"/>
  <c r="S34" i="1"/>
  <c r="T35" i="1"/>
  <c r="F14" i="1" l="1"/>
  <c r="F60" i="1"/>
  <c r="U35" i="1"/>
  <c r="N35" i="1"/>
  <c r="S35" i="1"/>
  <c r="T36" i="1"/>
  <c r="M35" i="1"/>
  <c r="O35" i="1"/>
  <c r="L48" i="1" l="1"/>
  <c r="F15" i="1"/>
  <c r="M60" i="1"/>
  <c r="N57" i="1" s="1"/>
  <c r="O57" i="1" s="1"/>
  <c r="N36" i="1"/>
  <c r="O36" i="1"/>
  <c r="U36" i="1"/>
  <c r="M36" i="1"/>
  <c r="S36" i="1"/>
  <c r="T37" i="1"/>
  <c r="F16" i="1" l="1"/>
  <c r="N59" i="1"/>
  <c r="O59" i="1" s="1"/>
  <c r="N58" i="1"/>
  <c r="O58" i="1" s="1"/>
  <c r="N55" i="1"/>
  <c r="O55" i="1" s="1"/>
  <c r="N54" i="1"/>
  <c r="M53" i="1"/>
  <c r="N56" i="1"/>
  <c r="O56" i="1" s="1"/>
  <c r="N60" i="1"/>
  <c r="O60" i="1" s="1"/>
  <c r="U37" i="1"/>
  <c r="J37" i="1" s="1"/>
  <c r="M37" i="1"/>
  <c r="T38" i="1"/>
  <c r="S37" i="1"/>
  <c r="N37" i="1"/>
  <c r="F17" i="1" l="1"/>
  <c r="O54" i="1"/>
  <c r="M52" i="1" s="1"/>
  <c r="A50" i="1" s="1"/>
  <c r="N53" i="1"/>
  <c r="S38" i="1"/>
  <c r="M38" i="1"/>
  <c r="U38" i="1"/>
  <c r="J38" i="1" s="1"/>
  <c r="N38" i="1"/>
  <c r="T39" i="1"/>
  <c r="F18" i="1" l="1"/>
  <c r="J35" i="1"/>
  <c r="J33" i="1"/>
  <c r="J31" i="1"/>
  <c r="J30" i="1"/>
  <c r="J36" i="1"/>
  <c r="J32" i="1"/>
  <c r="J34" i="1"/>
  <c r="S39" i="1"/>
  <c r="U39" i="1"/>
  <c r="J39" i="1" s="1"/>
  <c r="M39" i="1"/>
  <c r="T40" i="1"/>
  <c r="N39" i="1"/>
  <c r="F19" i="1" l="1"/>
  <c r="U40" i="1"/>
  <c r="J40" i="1" s="1"/>
  <c r="N40" i="1"/>
  <c r="M40" i="1"/>
  <c r="S40" i="1"/>
  <c r="T41" i="1"/>
  <c r="S41" i="1" s="1"/>
  <c r="F20" i="1" l="1"/>
  <c r="T42" i="1"/>
  <c r="S42" i="1" s="1"/>
  <c r="U41" i="1"/>
  <c r="J41" i="1" s="1"/>
  <c r="M41" i="1"/>
  <c r="N41" i="1"/>
  <c r="F21" i="1" l="1"/>
  <c r="N42" i="1"/>
  <c r="M42" i="1"/>
  <c r="U42" i="1"/>
  <c r="F22" i="1" l="1"/>
  <c r="F23" i="1" l="1"/>
  <c r="F24" i="1" l="1"/>
  <c r="F25" i="1" l="1"/>
  <c r="F26" i="1" l="1"/>
  <c r="F27" i="1" l="1"/>
  <c r="F28" i="1" l="1"/>
  <c r="F29" i="1" l="1"/>
  <c r="F30" i="1" l="1"/>
  <c r="F31" i="1" l="1"/>
  <c r="F32" i="1" l="1"/>
  <c r="F33" i="1" l="1"/>
  <c r="F34" i="1" l="1"/>
  <c r="F35" i="1" l="1"/>
  <c r="F36" i="1" l="1"/>
  <c r="F37" i="1" l="1"/>
  <c r="F38" i="1" l="1"/>
  <c r="F39" i="1" l="1"/>
  <c r="F40" i="1" l="1"/>
  <c r="F41" i="1" l="1"/>
  <c r="F42" i="1" l="1"/>
  <c r="F43" i="1" s="1"/>
  <c r="L43" i="1" s="1"/>
  <c r="K42" i="1" l="1"/>
  <c r="K43" i="1" s="1"/>
  <c r="T43" i="1"/>
  <c r="L42" i="1"/>
  <c r="T44" i="1" l="1"/>
  <c r="S43" i="1"/>
  <c r="U43" i="1"/>
  <c r="M43" i="1"/>
  <c r="N43" i="1"/>
  <c r="F44" i="1"/>
  <c r="N44" i="1" l="1"/>
  <c r="M44" i="1"/>
  <c r="S44" i="1"/>
  <c r="U44" i="1"/>
  <c r="J44" i="1" s="1"/>
  <c r="L44" i="1"/>
  <c r="F45" i="1"/>
  <c r="K44" i="1"/>
  <c r="T45" i="1"/>
  <c r="S45" i="1" l="1"/>
  <c r="U45" i="1"/>
  <c r="M45" i="1"/>
  <c r="N45" i="1"/>
  <c r="L45" i="1"/>
  <c r="F46" i="1"/>
  <c r="F47" i="1" s="1"/>
  <c r="K45" i="1"/>
  <c r="T46" i="1"/>
  <c r="L47" i="1" l="1"/>
  <c r="T47" i="1"/>
  <c r="S46" i="1"/>
  <c r="U46" i="1"/>
  <c r="M46" i="1"/>
  <c r="N46" i="1"/>
  <c r="L46" i="1"/>
  <c r="K46" i="1"/>
  <c r="K47" i="1" l="1"/>
  <c r="T48" i="1"/>
  <c r="M47" i="1"/>
  <c r="N47" i="1"/>
  <c r="U47" i="1"/>
  <c r="S47" i="1"/>
  <c r="L7" i="1"/>
  <c r="I30" i="1" s="1"/>
  <c r="C32" i="1"/>
  <c r="I35" i="1" l="1"/>
  <c r="I41" i="1"/>
  <c r="I34" i="1"/>
  <c r="I19" i="1"/>
  <c r="J19" i="1" s="1"/>
  <c r="I21" i="1"/>
  <c r="J21" i="1" s="1"/>
  <c r="I47" i="1"/>
  <c r="I39" i="1"/>
  <c r="I25" i="1"/>
  <c r="J25" i="1" s="1"/>
  <c r="I44" i="1"/>
  <c r="I38" i="1"/>
  <c r="I33" i="1"/>
  <c r="I27" i="1"/>
  <c r="J27" i="1" s="1"/>
  <c r="I12" i="1"/>
  <c r="J12" i="1" s="1"/>
  <c r="I18" i="1"/>
  <c r="J18" i="1" s="1"/>
  <c r="I29" i="1"/>
  <c r="J29" i="1" s="1"/>
  <c r="I17" i="1"/>
  <c r="J17" i="1" s="1"/>
  <c r="I15" i="1"/>
  <c r="J15" i="1" s="1"/>
  <c r="I42" i="1"/>
  <c r="J42" i="1" s="1"/>
  <c r="I37" i="1"/>
  <c r="I31" i="1"/>
  <c r="I26" i="1"/>
  <c r="J26" i="1" s="1"/>
  <c r="I22" i="1"/>
  <c r="J22" i="1" s="1"/>
  <c r="I14" i="1"/>
  <c r="J14" i="1" s="1"/>
  <c r="I45" i="1"/>
  <c r="I40" i="1"/>
  <c r="I36" i="1"/>
  <c r="I32" i="1"/>
  <c r="I28" i="1"/>
  <c r="J28" i="1" s="1"/>
  <c r="I24" i="1"/>
  <c r="J24" i="1" s="1"/>
  <c r="I8" i="1"/>
  <c r="J8" i="1" s="1"/>
  <c r="I16" i="1"/>
  <c r="J16" i="1" s="1"/>
  <c r="M48" i="1"/>
  <c r="N48" i="1"/>
  <c r="S48" i="1"/>
  <c r="D35" i="1" s="1"/>
  <c r="U48" i="1"/>
  <c r="K48" i="1"/>
  <c r="I23" i="1"/>
  <c r="J23" i="1" s="1"/>
  <c r="I10" i="1"/>
  <c r="J10" i="1" s="1"/>
  <c r="I11" i="1"/>
  <c r="J11" i="1" s="1"/>
  <c r="I46" i="1"/>
  <c r="I13" i="1"/>
  <c r="J13" i="1" s="1"/>
  <c r="I9" i="1"/>
  <c r="J9" i="1" s="1"/>
  <c r="I43" i="1"/>
  <c r="I20" i="1"/>
  <c r="J20" i="1" s="1"/>
  <c r="E3" i="1"/>
  <c r="B1" i="1"/>
  <c r="I48" i="1" l="1"/>
  <c r="D27" i="1"/>
  <c r="C30" i="1" s="1"/>
  <c r="T49" i="1" l="1"/>
  <c r="S49" i="1"/>
  <c r="C33" i="1" s="1"/>
  <c r="D36" i="1" s="1"/>
  <c r="D37" i="1" s="1"/>
</calcChain>
</file>

<file path=xl/sharedStrings.xml><?xml version="1.0" encoding="utf-8"?>
<sst xmlns="http://schemas.openxmlformats.org/spreadsheetml/2006/main" count="118" uniqueCount="94">
  <si>
    <t>SKRÝT</t>
  </si>
  <si>
    <t>Vyplňte prosím do zelených buněk rok přiznání důchodu, výše vyměřovacích základů, vyloučených dob a dobu pojištění</t>
  </si>
  <si>
    <t>indikace chyby</t>
  </si>
  <si>
    <t>rok přiznání důchodu</t>
  </si>
  <si>
    <t>ne</t>
  </si>
  <si>
    <r>
      <t xml:space="preserve"> </t>
    </r>
    <r>
      <rPr>
        <b/>
        <u/>
        <sz val="11"/>
        <rFont val="Times New Roman CE"/>
        <charset val="238"/>
      </rPr>
      <t>Doba pojištění</t>
    </r>
  </si>
  <si>
    <t>V</t>
  </si>
  <si>
    <t xml:space="preserve">Vyměřovací </t>
  </si>
  <si>
    <t>Vyloučené</t>
  </si>
  <si>
    <t>Koeficient</t>
  </si>
  <si>
    <t>Roční</t>
  </si>
  <si>
    <t>Všeobecný</t>
  </si>
  <si>
    <t>Přepočítací</t>
  </si>
  <si>
    <t xml:space="preserve">Redukční </t>
  </si>
  <si>
    <t>Redukce na</t>
  </si>
  <si>
    <t>Základní</t>
  </si>
  <si>
    <t>Průměrná</t>
  </si>
  <si>
    <t>Maximální</t>
  </si>
  <si>
    <t>náso bek</t>
  </si>
  <si>
    <t>POZOR ! Není vyplněna doba pojištění ke dni vzniku nároku na důchod!</t>
  </si>
  <si>
    <t xml:space="preserve"> Počet let pojištění ke dni vzniku nároku na důchod</t>
  </si>
  <si>
    <t>roce</t>
  </si>
  <si>
    <t>základ</t>
  </si>
  <si>
    <t>doby</t>
  </si>
  <si>
    <t>nárůstu</t>
  </si>
  <si>
    <t>vyměřovací</t>
  </si>
  <si>
    <t>koeficient</t>
  </si>
  <si>
    <t>hranice</t>
  </si>
  <si>
    <t>v pásmu</t>
  </si>
  <si>
    <t>výměra</t>
  </si>
  <si>
    <t>mzda</t>
  </si>
  <si>
    <t>POZOR ! Je vyplněna doba za přesluhování a současně doba za předčasný odchod do důchodu, což není možné !</t>
  </si>
  <si>
    <t>se sazbou 1,5%</t>
  </si>
  <si>
    <t>(Kč)</t>
  </si>
  <si>
    <t>(dny)</t>
  </si>
  <si>
    <t>VVZ</t>
  </si>
  <si>
    <t>I.</t>
  </si>
  <si>
    <t>II.</t>
  </si>
  <si>
    <t>III.</t>
  </si>
  <si>
    <t>I. - II.</t>
  </si>
  <si>
    <t>II. - III.</t>
  </si>
  <si>
    <t>nad III.</t>
  </si>
  <si>
    <t>max.</t>
  </si>
  <si>
    <t>POZOR ! Je vyplněna doba pro trvale krácený i dočasně krácený předčasný starobní důchod, což není možné !</t>
  </si>
  <si>
    <r>
      <t xml:space="preserve"> </t>
    </r>
    <r>
      <rPr>
        <u/>
        <sz val="11"/>
        <rFont val="Times New Roman CE"/>
        <charset val="238"/>
      </rPr>
      <t>Při přesluhování</t>
    </r>
    <r>
      <rPr>
        <sz val="11"/>
        <rFont val="Times New Roman CE"/>
        <family val="1"/>
        <charset val="238"/>
      </rPr>
      <t xml:space="preserve"> - </t>
    </r>
    <r>
      <rPr>
        <sz val="9"/>
        <rFont val="Times New Roman CE"/>
        <family val="1"/>
        <charset val="238"/>
      </rPr>
      <t>výdělečná činnost po dosažení důchodového věku</t>
    </r>
  </si>
  <si>
    <t xml:space="preserve"> bez pobírání důchodu - počet čtvrtletí (ukončených 90 dnů)  </t>
  </si>
  <si>
    <t>30.9..1996 se základní výměra zvýšila na 1 060 Kč a procentní výměra o dalších 6%.</t>
  </si>
  <si>
    <t xml:space="preserve">    před 1.7.2001 </t>
  </si>
  <si>
    <t>zvýšení sazby o 1,0%</t>
  </si>
  <si>
    <t>31.3.1996 se základní výměra zvýšila na 920 Kč a procentní výměra o 8%</t>
  </si>
  <si>
    <t xml:space="preserve">    po 30.6.2001</t>
  </si>
  <si>
    <t>zvýšení sazby o 1,5%</t>
  </si>
  <si>
    <t>31.7.1997 se základní výměra zvýšila na 1 260 Kč a procentní výměra o 8%.</t>
  </si>
  <si>
    <t>30.6.1998 se základní výměra zvýšila na 1 310 Kč a procentní výměra o 5%.</t>
  </si>
  <si>
    <t>31.7.1999 se procentní výměra zvýšila o 5%.</t>
  </si>
  <si>
    <t>30.11.2000 se procentní výměra zvýšila o 5%.</t>
  </si>
  <si>
    <t>30.11.2001 se procentní výměra zvýšila o 8%.</t>
  </si>
  <si>
    <r>
      <t xml:space="preserve"> </t>
    </r>
    <r>
      <rPr>
        <u/>
        <sz val="11"/>
        <rFont val="Times New Roman CE"/>
        <charset val="238"/>
      </rPr>
      <t>Při předčasném odchodu</t>
    </r>
    <r>
      <rPr>
        <sz val="11"/>
        <rFont val="Times New Roman CE"/>
        <family val="1"/>
        <charset val="238"/>
      </rPr>
      <t xml:space="preserve"> - počet čtvrtletí (každých i započatých </t>
    </r>
  </si>
  <si>
    <t xml:space="preserve"> 90 dnů chybějících do dosažení důchodového věku)</t>
  </si>
  <si>
    <t>trvale krácené (§31)</t>
  </si>
  <si>
    <t xml:space="preserve"> Procentní sazby pro stanovení procentní výměry důchodu</t>
  </si>
  <si>
    <t xml:space="preserve">   za dobu pojištění do vzniku nároku na důchod</t>
  </si>
  <si>
    <t xml:space="preserve">   za přesluhování</t>
  </si>
  <si>
    <t xml:space="preserve">   za předčasný odchod do důchodu</t>
  </si>
  <si>
    <t>celkem</t>
  </si>
  <si>
    <t xml:space="preserve"> Rozhodné období tvoří roky</t>
  </si>
  <si>
    <t>1986  -</t>
  </si>
  <si>
    <t xml:space="preserve"> Úhrn ročních vyměřovacích základů</t>
  </si>
  <si>
    <t xml:space="preserve"> Počet dnů</t>
  </si>
  <si>
    <t>v rozhodném období</t>
  </si>
  <si>
    <t>vyloučených</t>
  </si>
  <si>
    <t xml:space="preserve"> Osobní vyměřovací základ</t>
  </si>
  <si>
    <t xml:space="preserve"> Redukční hranice</t>
  </si>
  <si>
    <t>započte se</t>
  </si>
  <si>
    <t>Výpočtový základ :</t>
  </si>
  <si>
    <r>
      <t xml:space="preserve">   </t>
    </r>
    <r>
      <rPr>
        <b/>
        <u/>
        <sz val="11"/>
        <rFont val="Times New Roman CE"/>
        <family val="1"/>
        <charset val="238"/>
      </rPr>
      <t>Vypočtená výše důchodu</t>
    </r>
  </si>
  <si>
    <t>základní výměra důchodu</t>
  </si>
  <si>
    <t>procentní výměra důchodu</t>
  </si>
  <si>
    <t>úhrnná výše důchodu</t>
  </si>
  <si>
    <t>Odhadovaný růst</t>
  </si>
  <si>
    <t xml:space="preserve">POZOR ! Opravdu předpokládáte takovýto růst průměrné mzdy?  </t>
  </si>
  <si>
    <t>rok</t>
  </si>
  <si>
    <t>odhad</t>
  </si>
  <si>
    <t>průměrné mzdy
v %</t>
  </si>
  <si>
    <t>Uvedena výše důchodu při jeho přiznání na počátku roku.  Při přiznání po:</t>
  </si>
  <si>
    <t>30.6.2008 se základní výměra zvýšila z 1 700 na 2 170 Kč</t>
  </si>
  <si>
    <t>Kvůli zveřejnění na www. MPSV hlásí nemožnost výpočtu pro přiznání</t>
  </si>
  <si>
    <t>dávat pozor na upřesňující poznámky pod tabulkou.</t>
  </si>
  <si>
    <t xml:space="preserve">před rokem 2004, ale výpočet je přesto proveden správně, jen je třeba </t>
  </si>
  <si>
    <t>pak podle odhadu růstu mezd do roku</t>
  </si>
  <si>
    <t>do roku</t>
  </si>
  <si>
    <t>zpochybnit</t>
  </si>
  <si>
    <t>růst menší</t>
  </si>
  <si>
    <t>růst větší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</si>
</sst>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;;;"/>
    <numFmt numFmtId="165" formatCode="#,##0_K"/>
    <numFmt numFmtId="166" formatCode="#,##0.0000_K"/>
    <numFmt numFmtId="167" formatCode="#,##0_K_K"/>
    <numFmt numFmtId="168" formatCode="#,##0.0_k%_K"/>
    <numFmt numFmtId="169" formatCode="#,##0\ &quot;Kč&quot;_K"/>
    <numFmt numFmtId="170" formatCode="#,##0.0_K"/>
  </numFmts>
  <fonts count="19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Times New Roman CE"/>
      <family val="1"/>
      <charset val="238"/>
    </font>
    <font>
      <b/>
      <sz val="14"/>
      <name val="Times New Roman CE"/>
      <family val="1"/>
      <charset val="238"/>
    </font>
    <font>
      <sz val="11"/>
      <color indexed="13"/>
      <name val="Times New Roman CE"/>
      <family val="1"/>
      <charset val="238"/>
    </font>
    <font>
      <b/>
      <i/>
      <sz val="11"/>
      <color indexed="10"/>
      <name val="Times New Roman CE"/>
      <charset val="238"/>
    </font>
    <font>
      <b/>
      <sz val="11"/>
      <name val="Times New Roman CE"/>
      <family val="1"/>
      <charset val="238"/>
    </font>
    <font>
      <b/>
      <sz val="11"/>
      <name val="Times New Roman CE"/>
      <charset val="238"/>
    </font>
    <font>
      <i/>
      <sz val="11"/>
      <name val="Times New Roman CE"/>
      <family val="1"/>
      <charset val="238"/>
    </font>
    <font>
      <b/>
      <u/>
      <sz val="11"/>
      <name val="Times New Roman CE"/>
      <charset val="238"/>
    </font>
    <font>
      <sz val="11"/>
      <name val="Times New Roman CE"/>
      <charset val="238"/>
    </font>
    <font>
      <u/>
      <sz val="11"/>
      <name val="Times New Roman CE"/>
      <charset val="238"/>
    </font>
    <font>
      <sz val="9"/>
      <name val="Times New Roman CE"/>
      <family val="1"/>
      <charset val="238"/>
    </font>
    <font>
      <b/>
      <u/>
      <sz val="11"/>
      <name val="Times New Roman CE"/>
      <family val="1"/>
      <charset val="238"/>
    </font>
    <font>
      <b/>
      <sz val="11"/>
      <color indexed="13"/>
      <name val="Times New Roman CE"/>
      <charset val="238"/>
    </font>
    <font>
      <b/>
      <sz val="11"/>
      <color indexed="8"/>
      <name val="Times New Roman CE"/>
      <charset val="238"/>
    </font>
    <font>
      <sz val="11"/>
      <color indexed="8"/>
      <name val="Times New Roman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/>
    <xf numFmtId="9" fontId="2" fillId="0" borderId="0" applyFont="0" applyFill="0" applyBorder="0" applyAlignment="0" applyProtection="0"/>
  </cellStyleXfs>
  <cellXfs count="186">
    <xf numFmtId="0" fontId="0" fillId="0" borderId="0" xfId="0"/>
    <xf numFmtId="165" fontId="4" fillId="0" borderId="0" xfId="1" applyFont="1" applyFill="1" applyProtection="1">
      <protection locked="0" hidden="1"/>
    </xf>
    <xf numFmtId="165" fontId="4" fillId="0" borderId="0" xfId="1" applyNumberFormat="1" applyFont="1" applyProtection="1">
      <protection hidden="1"/>
    </xf>
    <xf numFmtId="165" fontId="6" fillId="2" borderId="0" xfId="1" applyFont="1" applyFill="1" applyAlignment="1" applyProtection="1">
      <alignment horizontal="center"/>
      <protection hidden="1"/>
    </xf>
    <xf numFmtId="165" fontId="1" fillId="0" borderId="0" xfId="1" applyProtection="1">
      <protection hidden="1"/>
    </xf>
    <xf numFmtId="165" fontId="4" fillId="0" borderId="0" xfId="1" applyFont="1" applyProtection="1">
      <protection hidden="1"/>
    </xf>
    <xf numFmtId="165" fontId="8" fillId="0" borderId="0" xfId="1" applyFont="1" applyFill="1" applyAlignment="1" applyProtection="1">
      <alignment horizontal="center"/>
      <protection hidden="1"/>
    </xf>
    <xf numFmtId="165" fontId="8" fillId="0" borderId="0" xfId="1" applyFont="1" applyFill="1" applyAlignment="1" applyProtection="1">
      <alignment horizontal="right"/>
      <protection hidden="1"/>
    </xf>
    <xf numFmtId="1" fontId="8" fillId="3" borderId="0" xfId="1" applyNumberFormat="1" applyFont="1" applyFill="1" applyAlignment="1" applyProtection="1">
      <alignment horizontal="center"/>
      <protection locked="0" hidden="1"/>
    </xf>
    <xf numFmtId="165" fontId="9" fillId="0" borderId="0" xfId="1" applyFont="1" applyProtection="1">
      <protection hidden="1"/>
    </xf>
    <xf numFmtId="165" fontId="9" fillId="0" borderId="0" xfId="1" applyFont="1" applyAlignment="1" applyProtection="1">
      <alignment horizontal="center"/>
      <protection locked="0" hidden="1"/>
    </xf>
    <xf numFmtId="164" fontId="4" fillId="0" borderId="0" xfId="1" applyNumberFormat="1" applyFont="1" applyProtection="1">
      <protection hidden="1"/>
    </xf>
    <xf numFmtId="1" fontId="4" fillId="0" borderId="0" xfId="1" applyNumberFormat="1" applyFont="1" applyAlignment="1" applyProtection="1">
      <alignment horizontal="center"/>
      <protection hidden="1"/>
    </xf>
    <xf numFmtId="1" fontId="4" fillId="8" borderId="0" xfId="1" applyNumberFormat="1" applyFont="1" applyFill="1" applyAlignment="1" applyProtection="1">
      <alignment horizontal="center"/>
      <protection hidden="1"/>
    </xf>
    <xf numFmtId="1" fontId="8" fillId="4" borderId="0" xfId="1" applyNumberFormat="1" applyFont="1" applyFill="1" applyAlignment="1" applyProtection="1">
      <alignment horizontal="center"/>
      <protection hidden="1"/>
    </xf>
    <xf numFmtId="165" fontId="10" fillId="0" borderId="0" xfId="1" applyFont="1" applyFill="1" applyAlignment="1" applyProtection="1">
      <alignment horizontal="center"/>
      <protection hidden="1"/>
    </xf>
    <xf numFmtId="165" fontId="10" fillId="0" borderId="0" xfId="1" applyNumberFormat="1" applyFont="1" applyFill="1" applyAlignment="1" applyProtection="1">
      <alignment horizontal="center"/>
      <protection hidden="1"/>
    </xf>
    <xf numFmtId="165" fontId="8" fillId="0" borderId="1" xfId="1" applyFont="1" applyFill="1" applyBorder="1" applyProtection="1">
      <protection hidden="1"/>
    </xf>
    <xf numFmtId="165" fontId="4" fillId="0" borderId="2" xfId="1" applyFont="1" applyFill="1" applyBorder="1" applyProtection="1">
      <protection hidden="1"/>
    </xf>
    <xf numFmtId="165" fontId="4" fillId="0" borderId="3" xfId="1" applyFont="1" applyFill="1" applyBorder="1" applyProtection="1">
      <protection hidden="1"/>
    </xf>
    <xf numFmtId="165" fontId="4" fillId="0" borderId="0" xfId="1" applyFont="1" applyFill="1" applyProtection="1">
      <protection hidden="1"/>
    </xf>
    <xf numFmtId="165" fontId="8" fillId="5" borderId="4" xfId="1" applyFont="1" applyFill="1" applyBorder="1" applyAlignment="1" applyProtection="1">
      <alignment horizontal="center"/>
      <protection hidden="1"/>
    </xf>
    <xf numFmtId="165" fontId="8" fillId="5" borderId="5" xfId="1" applyFont="1" applyFill="1" applyBorder="1" applyAlignment="1" applyProtection="1">
      <alignment horizontal="center"/>
      <protection hidden="1"/>
    </xf>
    <xf numFmtId="165" fontId="8" fillId="5" borderId="3" xfId="1" applyFont="1" applyFill="1" applyBorder="1" applyAlignment="1" applyProtection="1">
      <alignment horizontal="center"/>
      <protection hidden="1"/>
    </xf>
    <xf numFmtId="166" fontId="4" fillId="0" borderId="5" xfId="1" applyNumberFormat="1" applyFont="1" applyBorder="1" applyAlignment="1" applyProtection="1">
      <alignment horizontal="center"/>
      <protection hidden="1"/>
    </xf>
    <xf numFmtId="165" fontId="4" fillId="0" borderId="3" xfId="1" applyNumberFormat="1" applyFont="1" applyBorder="1" applyAlignment="1" applyProtection="1">
      <alignment horizontal="center"/>
      <protection hidden="1"/>
    </xf>
    <xf numFmtId="165" fontId="4" fillId="0" borderId="5" xfId="1" applyNumberFormat="1" applyFont="1" applyBorder="1" applyAlignment="1" applyProtection="1">
      <alignment horizontal="center"/>
      <protection hidden="1"/>
    </xf>
    <xf numFmtId="165" fontId="4" fillId="0" borderId="4" xfId="1" applyNumberFormat="1" applyFont="1" applyBorder="1" applyAlignment="1" applyProtection="1">
      <alignment horizontal="center"/>
      <protection hidden="1"/>
    </xf>
    <xf numFmtId="165" fontId="4" fillId="0" borderId="6" xfId="1" applyNumberFormat="1" applyFont="1" applyBorder="1" applyAlignment="1" applyProtection="1">
      <alignment horizontal="center"/>
      <protection hidden="1"/>
    </xf>
    <xf numFmtId="165" fontId="4" fillId="0" borderId="1" xfId="1" applyNumberFormat="1" applyFont="1" applyBorder="1" applyAlignment="1" applyProtection="1">
      <alignment horizontal="center"/>
      <protection hidden="1"/>
    </xf>
    <xf numFmtId="165" fontId="4" fillId="0" borderId="4" xfId="1" applyFont="1" applyBorder="1" applyAlignment="1" applyProtection="1">
      <alignment horizontal="center"/>
      <protection hidden="1"/>
    </xf>
    <xf numFmtId="165" fontId="4" fillId="0" borderId="0" xfId="1" applyNumberFormat="1" applyFont="1" applyFill="1" applyProtection="1">
      <protection hidden="1"/>
    </xf>
    <xf numFmtId="0" fontId="4" fillId="0" borderId="7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165" fontId="4" fillId="0" borderId="8" xfId="1" applyFont="1" applyFill="1" applyBorder="1" applyProtection="1">
      <protection hidden="1"/>
    </xf>
    <xf numFmtId="165" fontId="8" fillId="5" borderId="9" xfId="1" applyFont="1" applyFill="1" applyBorder="1" applyAlignment="1" applyProtection="1">
      <alignment horizontal="center"/>
      <protection hidden="1"/>
    </xf>
    <xf numFmtId="165" fontId="8" fillId="5" borderId="10" xfId="1" applyFont="1" applyFill="1" applyBorder="1" applyAlignment="1" applyProtection="1">
      <alignment horizontal="center"/>
      <protection hidden="1"/>
    </xf>
    <xf numFmtId="165" fontId="8" fillId="5" borderId="8" xfId="1" applyFont="1" applyFill="1" applyBorder="1" applyAlignment="1" applyProtection="1">
      <alignment horizontal="center"/>
      <protection hidden="1"/>
    </xf>
    <xf numFmtId="166" fontId="4" fillId="0" borderId="10" xfId="1" applyNumberFormat="1" applyFont="1" applyBorder="1" applyAlignment="1" applyProtection="1">
      <alignment horizontal="center"/>
      <protection hidden="1"/>
    </xf>
    <xf numFmtId="165" fontId="4" fillId="0" borderId="8" xfId="1" applyNumberFormat="1" applyFont="1" applyBorder="1" applyAlignment="1" applyProtection="1">
      <alignment horizontal="center"/>
      <protection hidden="1"/>
    </xf>
    <xf numFmtId="165" fontId="4" fillId="0" borderId="10" xfId="1" applyNumberFormat="1" applyFont="1" applyBorder="1" applyAlignment="1" applyProtection="1">
      <alignment horizontal="center"/>
      <protection hidden="1"/>
    </xf>
    <xf numFmtId="165" fontId="4" fillId="0" borderId="9" xfId="1" applyNumberFormat="1" applyFont="1" applyBorder="1" applyAlignment="1" applyProtection="1">
      <alignment horizontal="center"/>
      <protection hidden="1"/>
    </xf>
    <xf numFmtId="165" fontId="4" fillId="0" borderId="11" xfId="1" applyNumberFormat="1" applyFont="1" applyBorder="1" applyAlignment="1" applyProtection="1">
      <alignment horizontal="center"/>
      <protection hidden="1"/>
    </xf>
    <xf numFmtId="165" fontId="4" fillId="0" borderId="7" xfId="1" applyNumberFormat="1" applyFont="1" applyBorder="1" applyAlignment="1" applyProtection="1">
      <alignment horizontal="center"/>
      <protection hidden="1"/>
    </xf>
    <xf numFmtId="165" fontId="4" fillId="0" borderId="9" xfId="1" applyFont="1" applyBorder="1" applyAlignment="1" applyProtection="1">
      <alignment horizontal="center"/>
      <protection hidden="1"/>
    </xf>
    <xf numFmtId="165" fontId="4" fillId="0" borderId="7" xfId="1" applyFont="1" applyFill="1" applyBorder="1" applyProtection="1">
      <protection hidden="1"/>
    </xf>
    <xf numFmtId="165" fontId="4" fillId="0" borderId="0" xfId="1" applyFont="1" applyFill="1" applyBorder="1" applyProtection="1">
      <protection hidden="1"/>
    </xf>
    <xf numFmtId="165" fontId="4" fillId="0" borderId="0" xfId="1" applyFont="1" applyFill="1" applyBorder="1" applyAlignment="1" applyProtection="1">
      <alignment horizontal="right"/>
      <protection hidden="1"/>
    </xf>
    <xf numFmtId="165" fontId="8" fillId="3" borderId="8" xfId="0" applyNumberFormat="1" applyFont="1" applyFill="1" applyBorder="1" applyAlignment="1" applyProtection="1">
      <alignment horizontal="center"/>
      <protection locked="0" hidden="1"/>
    </xf>
    <xf numFmtId="165" fontId="8" fillId="5" borderId="12" xfId="1" applyFont="1" applyFill="1" applyBorder="1" applyAlignment="1" applyProtection="1">
      <alignment horizontal="center"/>
      <protection hidden="1"/>
    </xf>
    <xf numFmtId="165" fontId="12" fillId="5" borderId="13" xfId="1" applyFont="1" applyFill="1" applyBorder="1" applyAlignment="1" applyProtection="1">
      <alignment horizontal="center"/>
      <protection hidden="1"/>
    </xf>
    <xf numFmtId="165" fontId="12" fillId="5" borderId="14" xfId="1" applyFont="1" applyFill="1" applyBorder="1" applyAlignment="1" applyProtection="1">
      <alignment horizontal="center"/>
      <protection hidden="1"/>
    </xf>
    <xf numFmtId="166" fontId="4" fillId="0" borderId="13" xfId="1" applyNumberFormat="1" applyFont="1" applyBorder="1" applyAlignment="1" applyProtection="1">
      <alignment horizontal="center"/>
      <protection hidden="1"/>
    </xf>
    <xf numFmtId="165" fontId="4" fillId="0" borderId="14" xfId="1" applyNumberFormat="1" applyFont="1" applyBorder="1" applyAlignment="1" applyProtection="1">
      <alignment horizontal="center"/>
      <protection hidden="1"/>
    </xf>
    <xf numFmtId="165" fontId="4" fillId="0" borderId="13" xfId="1" applyNumberFormat="1" applyFont="1" applyBorder="1" applyAlignment="1" applyProtection="1">
      <alignment horizontal="center"/>
      <protection hidden="1"/>
    </xf>
    <xf numFmtId="164" fontId="4" fillId="0" borderId="12" xfId="1" applyNumberFormat="1" applyFont="1" applyBorder="1" applyAlignment="1" applyProtection="1">
      <alignment horizontal="center"/>
      <protection hidden="1"/>
    </xf>
    <xf numFmtId="165" fontId="4" fillId="0" borderId="15" xfId="1" applyNumberFormat="1" applyFont="1" applyBorder="1" applyAlignment="1" applyProtection="1">
      <alignment horizontal="center"/>
      <protection hidden="1"/>
    </xf>
    <xf numFmtId="165" fontId="4" fillId="0" borderId="16" xfId="1" applyNumberFormat="1" applyFont="1" applyBorder="1" applyAlignment="1" applyProtection="1">
      <alignment horizontal="center"/>
      <protection hidden="1"/>
    </xf>
    <xf numFmtId="165" fontId="4" fillId="0" borderId="12" xfId="1" applyNumberFormat="1" applyFont="1" applyBorder="1" applyAlignment="1" applyProtection="1">
      <alignment horizontal="center"/>
      <protection hidden="1"/>
    </xf>
    <xf numFmtId="1" fontId="8" fillId="5" borderId="4" xfId="1" applyNumberFormat="1" applyFont="1" applyFill="1" applyBorder="1" applyAlignment="1" applyProtection="1">
      <alignment horizontal="center"/>
      <protection hidden="1"/>
    </xf>
    <xf numFmtId="165" fontId="8" fillId="3" borderId="5" xfId="1" applyFont="1" applyFill="1" applyBorder="1" applyProtection="1">
      <protection locked="0" hidden="1"/>
    </xf>
    <xf numFmtId="167" fontId="8" fillId="3" borderId="3" xfId="1" applyNumberFormat="1" applyFont="1" applyFill="1" applyBorder="1" applyProtection="1">
      <protection locked="0" hidden="1"/>
    </xf>
    <xf numFmtId="166" fontId="4" fillId="0" borderId="5" xfId="1" applyNumberFormat="1" applyFont="1" applyBorder="1" applyProtection="1">
      <protection hidden="1"/>
    </xf>
    <xf numFmtId="165" fontId="4" fillId="0" borderId="3" xfId="1" applyNumberFormat="1" applyFont="1" applyBorder="1" applyProtection="1">
      <protection hidden="1"/>
    </xf>
    <xf numFmtId="165" fontId="4" fillId="0" borderId="5" xfId="1" applyNumberFormat="1" applyFont="1" applyBorder="1" applyProtection="1">
      <protection hidden="1"/>
    </xf>
    <xf numFmtId="165" fontId="4" fillId="0" borderId="4" xfId="1" applyNumberFormat="1" applyFont="1" applyBorder="1" applyProtection="1">
      <protection hidden="1"/>
    </xf>
    <xf numFmtId="165" fontId="4" fillId="0" borderId="6" xfId="1" applyNumberFormat="1" applyFont="1" applyBorder="1" applyProtection="1">
      <protection hidden="1"/>
    </xf>
    <xf numFmtId="165" fontId="4" fillId="0" borderId="1" xfId="1" applyNumberFormat="1" applyFont="1" applyBorder="1" applyProtection="1">
      <protection hidden="1"/>
    </xf>
    <xf numFmtId="165" fontId="4" fillId="0" borderId="9" xfId="1" applyNumberFormat="1" applyFont="1" applyBorder="1" applyProtection="1">
      <protection hidden="1"/>
    </xf>
    <xf numFmtId="1" fontId="8" fillId="5" borderId="9" xfId="1" applyNumberFormat="1" applyFont="1" applyFill="1" applyBorder="1" applyAlignment="1" applyProtection="1">
      <alignment horizontal="center"/>
      <protection hidden="1"/>
    </xf>
    <xf numFmtId="165" fontId="8" fillId="3" borderId="10" xfId="1" applyFont="1" applyFill="1" applyBorder="1" applyProtection="1">
      <protection locked="0" hidden="1"/>
    </xf>
    <xf numFmtId="167" fontId="8" fillId="3" borderId="8" xfId="1" applyNumberFormat="1" applyFont="1" applyFill="1" applyBorder="1" applyProtection="1">
      <protection locked="0" hidden="1"/>
    </xf>
    <xf numFmtId="166" fontId="4" fillId="0" borderId="10" xfId="1" applyNumberFormat="1" applyFont="1" applyBorder="1" applyProtection="1">
      <protection hidden="1"/>
    </xf>
    <xf numFmtId="165" fontId="4" fillId="0" borderId="8" xfId="1" applyNumberFormat="1" applyFont="1" applyBorder="1" applyProtection="1">
      <protection hidden="1"/>
    </xf>
    <xf numFmtId="165" fontId="4" fillId="0" borderId="10" xfId="1" applyNumberFormat="1" applyFont="1" applyBorder="1" applyProtection="1">
      <protection hidden="1"/>
    </xf>
    <xf numFmtId="165" fontId="4" fillId="0" borderId="11" xfId="1" applyNumberFormat="1" applyFont="1" applyBorder="1" applyProtection="1">
      <protection hidden="1"/>
    </xf>
    <xf numFmtId="165" fontId="4" fillId="0" borderId="7" xfId="1" applyNumberFormat="1" applyFont="1" applyBorder="1" applyProtection="1">
      <protection hidden="1"/>
    </xf>
    <xf numFmtId="165" fontId="8" fillId="0" borderId="8" xfId="0" applyNumberFormat="1" applyFont="1" applyFill="1" applyBorder="1" applyAlignment="1" applyProtection="1">
      <alignment horizontal="center"/>
      <protection hidden="1"/>
    </xf>
    <xf numFmtId="1" fontId="8" fillId="5" borderId="12" xfId="1" applyNumberFormat="1" applyFont="1" applyFill="1" applyBorder="1" applyAlignment="1" applyProtection="1">
      <alignment horizontal="center"/>
      <protection hidden="1"/>
    </xf>
    <xf numFmtId="165" fontId="8" fillId="3" borderId="13" xfId="1" applyFont="1" applyFill="1" applyBorder="1" applyProtection="1">
      <protection locked="0" hidden="1"/>
    </xf>
    <xf numFmtId="167" fontId="8" fillId="3" borderId="14" xfId="1" applyNumberFormat="1" applyFont="1" applyFill="1" applyBorder="1" applyProtection="1">
      <protection locked="0" hidden="1"/>
    </xf>
    <xf numFmtId="166" fontId="4" fillId="0" borderId="13" xfId="1" applyNumberFormat="1" applyFont="1" applyBorder="1" applyProtection="1">
      <protection hidden="1"/>
    </xf>
    <xf numFmtId="165" fontId="4" fillId="0" borderId="14" xfId="1" applyNumberFormat="1" applyFont="1" applyBorder="1" applyProtection="1">
      <protection hidden="1"/>
    </xf>
    <xf numFmtId="165" fontId="4" fillId="0" borderId="13" xfId="1" applyNumberFormat="1" applyFont="1" applyBorder="1" applyProtection="1">
      <protection hidden="1"/>
    </xf>
    <xf numFmtId="165" fontId="4" fillId="0" borderId="12" xfId="1" applyNumberFormat="1" applyFont="1" applyBorder="1" applyProtection="1">
      <protection hidden="1"/>
    </xf>
    <xf numFmtId="165" fontId="4" fillId="0" borderId="15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164" fontId="8" fillId="0" borderId="0" xfId="1" applyNumberFormat="1" applyFont="1" applyFill="1" applyBorder="1" applyAlignment="1" applyProtection="1">
      <alignment horizontal="center"/>
      <protection hidden="1"/>
    </xf>
    <xf numFmtId="164" fontId="4" fillId="0" borderId="0" xfId="1" applyNumberFormat="1" applyFont="1" applyFill="1" applyBorder="1" applyAlignment="1" applyProtection="1">
      <alignment horizontal="center"/>
      <protection hidden="1"/>
    </xf>
    <xf numFmtId="166" fontId="4" fillId="0" borderId="9" xfId="1" applyNumberFormat="1" applyFont="1" applyBorder="1" applyProtection="1"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166" fontId="4" fillId="0" borderId="12" xfId="1" applyNumberFormat="1" applyFont="1" applyBorder="1" applyProtection="1">
      <protection hidden="1"/>
    </xf>
    <xf numFmtId="9" fontId="4" fillId="0" borderId="7" xfId="2" applyFont="1" applyBorder="1" applyAlignment="1" applyProtection="1">
      <alignment horizontal="center"/>
      <protection hidden="1"/>
    </xf>
    <xf numFmtId="165" fontId="15" fillId="0" borderId="7" xfId="1" applyFont="1" applyFill="1" applyBorder="1" applyProtection="1">
      <protection hidden="1"/>
    </xf>
    <xf numFmtId="168" fontId="4" fillId="0" borderId="8" xfId="2" applyNumberFormat="1" applyFont="1" applyFill="1" applyBorder="1" applyAlignment="1" applyProtection="1">
      <alignment horizontal="right"/>
      <protection hidden="1"/>
    </xf>
    <xf numFmtId="164" fontId="8" fillId="0" borderId="0" xfId="0" applyNumberFormat="1" applyFont="1" applyFill="1" applyBorder="1" applyAlignment="1" applyProtection="1">
      <alignment horizontal="center"/>
      <protection hidden="1"/>
    </xf>
    <xf numFmtId="9" fontId="4" fillId="0" borderId="16" xfId="2" applyFont="1" applyBorder="1" applyAlignment="1" applyProtection="1">
      <alignment horizontal="center"/>
      <protection hidden="1"/>
    </xf>
    <xf numFmtId="164" fontId="4" fillId="0" borderId="0" xfId="1" applyNumberFormat="1" applyFont="1" applyFill="1" applyBorder="1" applyProtection="1">
      <protection hidden="1"/>
    </xf>
    <xf numFmtId="165" fontId="4" fillId="0" borderId="16" xfId="1" applyFont="1" applyFill="1" applyBorder="1" applyProtection="1">
      <protection hidden="1"/>
    </xf>
    <xf numFmtId="165" fontId="4" fillId="0" borderId="17" xfId="1" applyFont="1" applyFill="1" applyBorder="1" applyProtection="1">
      <protection hidden="1"/>
    </xf>
    <xf numFmtId="168" fontId="8" fillId="0" borderId="14" xfId="2" applyNumberFormat="1" applyFont="1" applyFill="1" applyBorder="1" applyAlignment="1" applyProtection="1">
      <alignment horizontal="right"/>
      <protection hidden="1"/>
    </xf>
    <xf numFmtId="165" fontId="4" fillId="0" borderId="9" xfId="1" applyFont="1" applyBorder="1" applyProtection="1">
      <protection hidden="1"/>
    </xf>
    <xf numFmtId="165" fontId="12" fillId="0" borderId="0" xfId="1" applyFont="1" applyProtection="1">
      <protection hidden="1"/>
    </xf>
    <xf numFmtId="165" fontId="15" fillId="0" borderId="1" xfId="1" applyFont="1" applyFill="1" applyBorder="1" applyProtection="1">
      <protection hidden="1"/>
    </xf>
    <xf numFmtId="1" fontId="4" fillId="0" borderId="3" xfId="1" applyNumberFormat="1" applyFont="1" applyFill="1" applyBorder="1" applyAlignment="1" applyProtection="1">
      <alignment horizontal="center"/>
      <protection hidden="1"/>
    </xf>
    <xf numFmtId="1" fontId="4" fillId="0" borderId="0" xfId="1" applyNumberFormat="1" applyFont="1" applyFill="1" applyBorder="1" applyAlignment="1" applyProtection="1">
      <alignment horizontal="right"/>
      <protection hidden="1"/>
    </xf>
    <xf numFmtId="1" fontId="4" fillId="0" borderId="8" xfId="1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Protection="1">
      <protection hidden="1"/>
    </xf>
    <xf numFmtId="165" fontId="4" fillId="0" borderId="8" xfId="0" applyNumberFormat="1" applyFont="1" applyFill="1" applyBorder="1" applyAlignment="1" applyProtection="1">
      <alignment horizontal="right"/>
      <protection hidden="1"/>
    </xf>
    <xf numFmtId="165" fontId="4" fillId="0" borderId="12" xfId="1" applyFont="1" applyBorder="1" applyProtection="1">
      <protection hidden="1"/>
    </xf>
    <xf numFmtId="0" fontId="4" fillId="0" borderId="0" xfId="0" applyFont="1" applyFill="1" applyBorder="1" applyProtection="1">
      <protection hidden="1"/>
    </xf>
    <xf numFmtId="166" fontId="4" fillId="0" borderId="4" xfId="1" applyNumberFormat="1" applyFont="1" applyBorder="1" applyProtection="1">
      <protection hidden="1"/>
    </xf>
    <xf numFmtId="9" fontId="4" fillId="0" borderId="1" xfId="2" applyFont="1" applyBorder="1" applyAlignment="1" applyProtection="1">
      <alignment horizontal="center"/>
      <protection hidden="1"/>
    </xf>
    <xf numFmtId="165" fontId="4" fillId="0" borderId="11" xfId="1" applyNumberFormat="1" applyFont="1" applyFill="1" applyBorder="1" applyProtection="1">
      <protection hidden="1"/>
    </xf>
    <xf numFmtId="165" fontId="4" fillId="0" borderId="10" xfId="1" applyNumberFormat="1" applyFont="1" applyFill="1" applyBorder="1" applyProtection="1">
      <protection hidden="1"/>
    </xf>
    <xf numFmtId="165" fontId="4" fillId="0" borderId="7" xfId="1" applyNumberFormat="1" applyFont="1" applyFill="1" applyBorder="1" applyProtection="1">
      <protection hidden="1"/>
    </xf>
    <xf numFmtId="9" fontId="4" fillId="0" borderId="7" xfId="2" applyFont="1" applyFill="1" applyBorder="1" applyAlignment="1" applyProtection="1">
      <alignment horizontal="center"/>
      <protection hidden="1"/>
    </xf>
    <xf numFmtId="165" fontId="4" fillId="0" borderId="9" xfId="1" applyNumberFormat="1" applyFont="1" applyFill="1" applyBorder="1" applyProtection="1">
      <protection hidden="1"/>
    </xf>
    <xf numFmtId="164" fontId="4" fillId="0" borderId="8" xfId="1" applyNumberFormat="1" applyFont="1" applyFill="1" applyBorder="1" applyProtection="1">
      <protection hidden="1"/>
    </xf>
    <xf numFmtId="165" fontId="4" fillId="0" borderId="15" xfId="1" applyNumberFormat="1" applyFont="1" applyFill="1" applyBorder="1" applyProtection="1">
      <protection hidden="1"/>
    </xf>
    <xf numFmtId="165" fontId="4" fillId="0" borderId="13" xfId="1" applyNumberFormat="1" applyFont="1" applyFill="1" applyBorder="1" applyProtection="1">
      <protection hidden="1"/>
    </xf>
    <xf numFmtId="165" fontId="4" fillId="0" borderId="16" xfId="1" applyNumberFormat="1" applyFont="1" applyFill="1" applyBorder="1" applyProtection="1">
      <protection hidden="1"/>
    </xf>
    <xf numFmtId="9" fontId="4" fillId="0" borderId="16" xfId="2" applyFont="1" applyFill="1" applyBorder="1" applyAlignment="1" applyProtection="1">
      <alignment horizontal="center"/>
      <protection hidden="1"/>
    </xf>
    <xf numFmtId="165" fontId="4" fillId="0" borderId="12" xfId="1" applyNumberFormat="1" applyFont="1" applyFill="1" applyBorder="1" applyProtection="1">
      <protection hidden="1"/>
    </xf>
    <xf numFmtId="165" fontId="4" fillId="0" borderId="12" xfId="1" applyFont="1" applyBorder="1" applyAlignment="1" applyProtection="1">
      <alignment horizontal="center"/>
      <protection hidden="1"/>
    </xf>
    <xf numFmtId="0" fontId="4" fillId="0" borderId="16" xfId="0" applyFont="1" applyFill="1" applyBorder="1" applyProtection="1">
      <protection hidden="1"/>
    </xf>
    <xf numFmtId="0" fontId="3" fillId="0" borderId="17" xfId="0" applyFont="1" applyFill="1" applyBorder="1" applyAlignment="1" applyProtection="1">
      <alignment horizontal="right"/>
      <protection hidden="1"/>
    </xf>
    <xf numFmtId="165" fontId="4" fillId="0" borderId="5" xfId="1" applyNumberFormat="1" applyFont="1" applyFill="1" applyBorder="1" applyProtection="1">
      <protection hidden="1"/>
    </xf>
    <xf numFmtId="166" fontId="4" fillId="0" borderId="4" xfId="1" applyNumberFormat="1" applyFont="1" applyFill="1" applyBorder="1" applyProtection="1">
      <protection hidden="1"/>
    </xf>
    <xf numFmtId="165" fontId="4" fillId="0" borderId="1" xfId="1" applyNumberFormat="1" applyFont="1" applyFill="1" applyBorder="1" applyProtection="1">
      <protection hidden="1"/>
    </xf>
    <xf numFmtId="9" fontId="4" fillId="0" borderId="1" xfId="2" applyFont="1" applyFill="1" applyBorder="1" applyAlignment="1" applyProtection="1">
      <alignment horizontal="center"/>
      <protection hidden="1"/>
    </xf>
    <xf numFmtId="9" fontId="4" fillId="0" borderId="1" xfId="1" applyNumberFormat="1" applyFont="1" applyFill="1" applyBorder="1" applyAlignment="1" applyProtection="1">
      <alignment horizontal="center"/>
      <protection hidden="1"/>
    </xf>
    <xf numFmtId="165" fontId="4" fillId="0" borderId="4" xfId="1" applyNumberFormat="1" applyFont="1" applyFill="1" applyBorder="1" applyProtection="1">
      <protection hidden="1"/>
    </xf>
    <xf numFmtId="165" fontId="9" fillId="6" borderId="1" xfId="1" applyFont="1" applyFill="1" applyBorder="1" applyProtection="1">
      <protection hidden="1"/>
    </xf>
    <xf numFmtId="0" fontId="3" fillId="6" borderId="2" xfId="0" applyFont="1" applyFill="1" applyBorder="1" applyAlignment="1" applyProtection="1">
      <alignment horizontal="right"/>
      <protection hidden="1"/>
    </xf>
    <xf numFmtId="165" fontId="12" fillId="6" borderId="2" xfId="0" applyNumberFormat="1" applyFont="1" applyFill="1" applyBorder="1" applyAlignment="1" applyProtection="1">
      <alignment horizontal="left"/>
      <protection hidden="1"/>
    </xf>
    <xf numFmtId="165" fontId="8" fillId="6" borderId="3" xfId="0" applyNumberFormat="1" applyFont="1" applyFill="1" applyBorder="1" applyAlignment="1" applyProtection="1">
      <alignment horizontal="center"/>
      <protection hidden="1"/>
    </xf>
    <xf numFmtId="9" fontId="4" fillId="0" borderId="7" xfId="1" applyNumberFormat="1" applyFont="1" applyFill="1" applyBorder="1" applyAlignment="1" applyProtection="1">
      <alignment horizontal="center"/>
      <protection hidden="1"/>
    </xf>
    <xf numFmtId="165" fontId="4" fillId="6" borderId="7" xfId="1" applyFont="1" applyFill="1" applyBorder="1" applyProtection="1">
      <protection hidden="1"/>
    </xf>
    <xf numFmtId="165" fontId="4" fillId="6" borderId="0" xfId="1" applyFont="1" applyFill="1" applyBorder="1" applyProtection="1">
      <protection hidden="1"/>
    </xf>
    <xf numFmtId="169" fontId="4" fillId="6" borderId="8" xfId="1" applyNumberFormat="1" applyFont="1" applyFill="1" applyBorder="1" applyProtection="1">
      <protection hidden="1"/>
    </xf>
    <xf numFmtId="165" fontId="4" fillId="7" borderId="10" xfId="1" applyNumberFormat="1" applyFont="1" applyFill="1" applyBorder="1" applyProtection="1">
      <protection hidden="1"/>
    </xf>
    <xf numFmtId="166" fontId="4" fillId="7" borderId="9" xfId="1" applyNumberFormat="1" applyFont="1" applyFill="1" applyBorder="1" applyProtection="1">
      <protection hidden="1"/>
    </xf>
    <xf numFmtId="165" fontId="4" fillId="6" borderId="16" xfId="1" applyFont="1" applyFill="1" applyBorder="1" applyProtection="1">
      <protection hidden="1"/>
    </xf>
    <xf numFmtId="165" fontId="8" fillId="6" borderId="17" xfId="1" applyFont="1" applyFill="1" applyBorder="1" applyProtection="1">
      <protection hidden="1"/>
    </xf>
    <xf numFmtId="169" fontId="8" fillId="6" borderId="14" xfId="1" applyNumberFormat="1" applyFont="1" applyFill="1" applyBorder="1" applyProtection="1">
      <protection hidden="1"/>
    </xf>
    <xf numFmtId="9" fontId="4" fillId="0" borderId="16" xfId="1" applyNumberFormat="1" applyFont="1" applyFill="1" applyBorder="1" applyAlignment="1" applyProtection="1">
      <alignment horizontal="center"/>
      <protection hidden="1"/>
    </xf>
    <xf numFmtId="165" fontId="17" fillId="7" borderId="16" xfId="1" applyFont="1" applyFill="1" applyBorder="1" applyAlignment="1" applyProtection="1">
      <alignment horizontal="center" vertical="center" wrapText="1"/>
      <protection hidden="1"/>
    </xf>
    <xf numFmtId="165" fontId="17" fillId="7" borderId="14" xfId="1" applyFont="1" applyFill="1" applyBorder="1" applyAlignment="1" applyProtection="1">
      <alignment horizontal="center" vertical="top" wrapText="1"/>
      <protection hidden="1"/>
    </xf>
    <xf numFmtId="1" fontId="17" fillId="7" borderId="7" xfId="1" applyNumberFormat="1" applyFont="1" applyFill="1" applyBorder="1" applyAlignment="1" applyProtection="1">
      <alignment horizontal="center" vertical="top" wrapText="1"/>
      <protection hidden="1"/>
    </xf>
    <xf numFmtId="170" fontId="17" fillId="3" borderId="8" xfId="1" applyNumberFormat="1" applyFont="1" applyFill="1" applyBorder="1" applyAlignment="1" applyProtection="1">
      <alignment horizontal="center" vertical="top" wrapText="1"/>
      <protection locked="0" hidden="1"/>
    </xf>
    <xf numFmtId="165" fontId="4" fillId="9" borderId="0" xfId="1" applyFont="1" applyFill="1" applyProtection="1">
      <protection hidden="1"/>
    </xf>
    <xf numFmtId="165" fontId="4" fillId="9" borderId="0" xfId="1" applyNumberFormat="1" applyFont="1" applyFill="1" applyProtection="1">
      <protection hidden="1"/>
    </xf>
    <xf numFmtId="1" fontId="17" fillId="9" borderId="16" xfId="1" applyNumberFormat="1" applyFont="1" applyFill="1" applyBorder="1" applyAlignment="1" applyProtection="1">
      <alignment horizontal="center" vertical="top" wrapText="1"/>
      <protection hidden="1"/>
    </xf>
    <xf numFmtId="170" fontId="17" fillId="9" borderId="14" xfId="1" applyNumberFormat="1" applyFont="1" applyFill="1" applyBorder="1" applyAlignment="1" applyProtection="1">
      <alignment horizontal="center" vertical="top" wrapText="1"/>
      <protection hidden="1"/>
    </xf>
    <xf numFmtId="165" fontId="1" fillId="9" borderId="0" xfId="1" applyFill="1" applyProtection="1">
      <protection hidden="1"/>
    </xf>
    <xf numFmtId="170" fontId="17" fillId="9" borderId="0" xfId="1" applyNumberFormat="1" applyFont="1" applyFill="1" applyBorder="1" applyAlignment="1" applyProtection="1">
      <alignment horizontal="center" vertical="top" wrapText="1"/>
      <protection hidden="1"/>
    </xf>
    <xf numFmtId="165" fontId="9" fillId="0" borderId="0" xfId="1" applyFont="1" applyFill="1" applyAlignment="1" applyProtection="1">
      <alignment horizontal="left" vertical="top"/>
      <protection hidden="1"/>
    </xf>
    <xf numFmtId="165" fontId="4" fillId="7" borderId="13" xfId="1" applyNumberFormat="1" applyFont="1" applyFill="1" applyBorder="1" applyProtection="1">
      <protection hidden="1"/>
    </xf>
    <xf numFmtId="166" fontId="4" fillId="7" borderId="12" xfId="1" applyNumberFormat="1" applyFont="1" applyFill="1" applyBorder="1" applyProtection="1">
      <protection hidden="1"/>
    </xf>
    <xf numFmtId="166" fontId="4" fillId="0" borderId="9" xfId="1" applyNumberFormat="1" applyFont="1" applyFill="1" applyBorder="1" applyProtection="1">
      <protection hidden="1"/>
    </xf>
    <xf numFmtId="165" fontId="4" fillId="0" borderId="0" xfId="1" applyNumberFormat="1" applyFont="1" applyAlignment="1" applyProtection="1">
      <alignment horizontal="center"/>
      <protection hidden="1"/>
    </xf>
    <xf numFmtId="165" fontId="9" fillId="10" borderId="0" xfId="1" applyFont="1" applyFill="1" applyProtection="1">
      <protection hidden="1"/>
    </xf>
    <xf numFmtId="165" fontId="4" fillId="10" borderId="0" xfId="1" applyFont="1" applyFill="1" applyProtection="1">
      <protection hidden="1"/>
    </xf>
    <xf numFmtId="165" fontId="1" fillId="0" borderId="0" xfId="1" applyFill="1" applyProtection="1">
      <protection hidden="1"/>
    </xf>
    <xf numFmtId="165" fontId="9" fillId="0" borderId="0" xfId="1" quotePrefix="1" applyFont="1" applyProtection="1">
      <protection hidden="1"/>
    </xf>
    <xf numFmtId="165" fontId="9" fillId="0" borderId="0" xfId="1" applyFont="1" applyFill="1" applyAlignment="1" applyProtection="1">
      <alignment horizontal="left" vertical="top" wrapText="1"/>
      <protection hidden="1"/>
    </xf>
    <xf numFmtId="165" fontId="18" fillId="7" borderId="7" xfId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165" fontId="16" fillId="0" borderId="2" xfId="1" applyFont="1" applyBorder="1" applyAlignment="1" applyProtection="1">
      <alignment horizontal="left" vertical="top" wrapText="1"/>
      <protection hidden="1"/>
    </xf>
    <xf numFmtId="165" fontId="16" fillId="0" borderId="0" xfId="1" applyFont="1" applyAlignment="1" applyProtection="1">
      <alignment horizontal="left" vertical="top" wrapText="1"/>
      <protection hidden="1"/>
    </xf>
    <xf numFmtId="165" fontId="17" fillId="7" borderId="7" xfId="1" applyFont="1" applyFill="1" applyBorder="1" applyAlignment="1" applyProtection="1">
      <alignment horizontal="center" vertical="center" wrapText="1"/>
      <protection hidden="1"/>
    </xf>
    <xf numFmtId="165" fontId="17" fillId="7" borderId="8" xfId="1" applyFont="1" applyFill="1" applyBorder="1" applyAlignment="1" applyProtection="1">
      <alignment horizontal="center" vertical="center" wrapText="1"/>
      <protection hidden="1"/>
    </xf>
    <xf numFmtId="165" fontId="17" fillId="7" borderId="16" xfId="1" applyFont="1" applyFill="1" applyBorder="1" applyAlignment="1" applyProtection="1">
      <alignment horizontal="center" vertical="center" wrapText="1"/>
      <protection hidden="1"/>
    </xf>
    <xf numFmtId="165" fontId="17" fillId="7" borderId="14" xfId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top" wrapText="1"/>
    </xf>
    <xf numFmtId="165" fontId="8" fillId="0" borderId="17" xfId="0" quotePrefix="1" applyNumberFormat="1" applyFont="1" applyFill="1" applyBorder="1" applyAlignment="1" applyProtection="1">
      <alignment horizontal="center"/>
      <protection hidden="1"/>
    </xf>
    <xf numFmtId="165" fontId="8" fillId="0" borderId="14" xfId="0" applyNumberFormat="1" applyFont="1" applyFill="1" applyBorder="1" applyAlignment="1" applyProtection="1">
      <alignment horizontal="center"/>
      <protection hidden="1"/>
    </xf>
    <xf numFmtId="165" fontId="5" fillId="0" borderId="0" xfId="1" applyFont="1" applyFill="1" applyAlignment="1" applyProtection="1">
      <alignment horizontal="center" vertical="center"/>
      <protection hidden="1"/>
    </xf>
    <xf numFmtId="165" fontId="7" fillId="0" borderId="0" xfId="1" applyFont="1" applyFill="1" applyAlignment="1" applyProtection="1">
      <alignment horizontal="center"/>
      <protection hidden="1"/>
    </xf>
    <xf numFmtId="165" fontId="4" fillId="0" borderId="4" xfId="1" applyFont="1" applyBorder="1" applyAlignment="1" applyProtection="1">
      <alignment horizontal="center" wrapText="1"/>
      <protection hidden="1"/>
    </xf>
    <xf numFmtId="165" fontId="4" fillId="0" borderId="9" xfId="1" applyFont="1" applyBorder="1" applyAlignment="1" applyProtection="1">
      <alignment horizontal="center" wrapText="1"/>
      <protection hidden="1"/>
    </xf>
    <xf numFmtId="165" fontId="4" fillId="0" borderId="0" xfId="0" applyNumberFormat="1" applyFont="1" applyFill="1" applyBorder="1" applyAlignment="1" applyProtection="1">
      <alignment horizontal="center"/>
      <protection hidden="1"/>
    </xf>
    <xf numFmtId="165" fontId="4" fillId="0" borderId="8" xfId="0" applyNumberFormat="1" applyFont="1" applyFill="1" applyBorder="1" applyAlignment="1" applyProtection="1">
      <alignment horizontal="center"/>
      <protection hidden="1"/>
    </xf>
  </cellXfs>
  <cellStyles count="3">
    <cellStyle name="Normální" xfId="0" builtinId="0"/>
    <cellStyle name="PB_TR10" xfId="1" xr:uid="{00000000-0005-0000-0000-000001000000}"/>
    <cellStyle name="Procenta" xfId="2" builtinId="5"/>
  </cellStyles>
  <dxfs count="72"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fgColor rgb="FFFFFF00"/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B61"/>
  <sheetViews>
    <sheetView showGridLines="0" showRowColHeaders="0" tabSelected="1" topLeftCell="A18" workbookViewId="0">
      <selection activeCell="G34" sqref="G34"/>
    </sheetView>
  </sheetViews>
  <sheetFormatPr defaultColWidth="9.42578125" defaultRowHeight="12.75" x14ac:dyDescent="0.2"/>
  <cols>
    <col min="1" max="1" width="12.5703125" style="4" customWidth="1"/>
    <col min="2" max="2" width="17.5703125" style="4" customWidth="1"/>
    <col min="3" max="3" width="11.5703125" style="4" customWidth="1"/>
    <col min="4" max="4" width="13.5703125" style="4" customWidth="1"/>
    <col min="5" max="5" width="1.5703125" style="4" customWidth="1"/>
    <col min="6" max="6" width="6.5703125" style="4" customWidth="1"/>
    <col min="7" max="7" width="12.5703125" style="4" customWidth="1"/>
    <col min="8" max="9" width="11.5703125" style="4" customWidth="1"/>
    <col min="10" max="10" width="12.5703125" style="4" customWidth="1"/>
    <col min="11" max="11" width="11.5703125" style="4" customWidth="1"/>
    <col min="12" max="12" width="10.42578125" style="4" bestFit="1" customWidth="1"/>
    <col min="13" max="13" width="58.28515625" style="4" hidden="1" customWidth="1"/>
    <col min="14" max="14" width="9.42578125" style="4" hidden="1" customWidth="1"/>
    <col min="15" max="15" width="32.85546875" style="4" hidden="1" customWidth="1"/>
    <col min="16" max="18" width="11" style="4" hidden="1" customWidth="1"/>
    <col min="19" max="19" width="8.140625" style="4" hidden="1" customWidth="1"/>
    <col min="20" max="20" width="9.28515625" style="4" hidden="1" customWidth="1"/>
    <col min="21" max="21" width="10.7109375" style="4" hidden="1" customWidth="1"/>
    <col min="22" max="22" width="8.42578125" style="4" hidden="1" customWidth="1"/>
    <col min="23" max="23" width="158.7109375" style="4" hidden="1" customWidth="1"/>
    <col min="24" max="24" width="8" style="4" hidden="1" customWidth="1"/>
    <col min="25" max="16384" width="9.42578125" style="4"/>
  </cols>
  <sheetData>
    <row r="1" spans="1:24" ht="18.75" x14ac:dyDescent="0.25">
      <c r="A1" s="1"/>
      <c r="B1" s="180" t="str">
        <f>"Orientační výpočet výše starobního důchodu při jeho přiznání v letech 2004 až  "&amp;max</f>
        <v>Orientační výpočet výše starobního důchodu při jeho přiznání v letech 2004 až  2026</v>
      </c>
      <c r="C1" s="180"/>
      <c r="D1" s="180"/>
      <c r="E1" s="180"/>
      <c r="F1" s="180"/>
      <c r="G1" s="180"/>
      <c r="H1" s="180"/>
      <c r="I1" s="180"/>
      <c r="J1" s="180"/>
      <c r="K1" s="180"/>
      <c r="L1" s="2"/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3" t="s">
        <v>0</v>
      </c>
      <c r="U1" s="3" t="s">
        <v>0</v>
      </c>
      <c r="V1" s="3" t="s">
        <v>0</v>
      </c>
      <c r="W1" s="3" t="s">
        <v>0</v>
      </c>
      <c r="X1" s="3" t="s">
        <v>0</v>
      </c>
    </row>
    <row r="2" spans="1:24" ht="15" x14ac:dyDescent="0.25">
      <c r="A2" s="181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" t="s">
        <v>2</v>
      </c>
      <c r="X2" s="5"/>
    </row>
    <row r="3" spans="1:24" ht="15" x14ac:dyDescent="0.25">
      <c r="A3" s="6"/>
      <c r="B3" s="6"/>
      <c r="C3" s="7" t="s">
        <v>3</v>
      </c>
      <c r="D3" s="8">
        <v>2021</v>
      </c>
      <c r="E3" s="165" t="str">
        <f>IF(RP=2011,"důchod přiznán před 30. září 2011 ?   ano / ne",IF(RP&gt;max,"Pro tento rok zde nelze výši důchodu spočítat",IF(RP&gt;maxB,"pro tento rok podle odhadovaného růstu mezd","")))&amp;IF(RP&lt;2004,"Pro tento rok je výpočet platný s omezením  *)","")</f>
        <v/>
      </c>
      <c r="F3" s="9"/>
      <c r="G3" s="9"/>
      <c r="H3" s="9"/>
      <c r="I3" s="9"/>
      <c r="J3" s="10" t="s">
        <v>4</v>
      </c>
      <c r="K3" s="11">
        <f>IF(OR(RP&lt;2011,AND(RP=2011,LEFT(TRIM(J3),1)="A")),0,1)</f>
        <v>1</v>
      </c>
      <c r="L3" s="2"/>
      <c r="M3" s="161" t="s">
        <v>90</v>
      </c>
      <c r="N3" s="13">
        <v>2021</v>
      </c>
      <c r="O3" s="2" t="s">
        <v>89</v>
      </c>
      <c r="P3" s="2"/>
      <c r="Q3" s="2"/>
      <c r="R3" s="12">
        <v>2026</v>
      </c>
      <c r="S3" s="2"/>
      <c r="T3" s="2"/>
      <c r="U3" s="2"/>
      <c r="V3" s="5"/>
      <c r="W3" s="14">
        <f>1+IF(AND(D18&gt;0,D19&gt;0),3,IF(AND(SUM($D$10:$D$11)&gt;0,SUM($D$18:$D$19)&gt;0),2,IF(D7&lt;1,1,0)))</f>
        <v>2</v>
      </c>
      <c r="X3" s="5"/>
    </row>
    <row r="4" spans="1:24" ht="5.0999999999999996" customHeight="1" thickBo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5"/>
      <c r="X4" s="5"/>
    </row>
    <row r="5" spans="1:24" ht="15" x14ac:dyDescent="0.25">
      <c r="A5" s="17" t="s">
        <v>5</v>
      </c>
      <c r="B5" s="18"/>
      <c r="C5" s="18"/>
      <c r="D5" s="19"/>
      <c r="E5" s="20"/>
      <c r="F5" s="21" t="s">
        <v>6</v>
      </c>
      <c r="G5" s="22" t="s">
        <v>7</v>
      </c>
      <c r="H5" s="23" t="s">
        <v>8</v>
      </c>
      <c r="I5" s="24" t="s">
        <v>9</v>
      </c>
      <c r="J5" s="25" t="s">
        <v>10</v>
      </c>
      <c r="K5" s="26" t="s">
        <v>11</v>
      </c>
      <c r="L5" s="27" t="s">
        <v>12</v>
      </c>
      <c r="M5" s="28" t="s">
        <v>13</v>
      </c>
      <c r="N5" s="26" t="s">
        <v>13</v>
      </c>
      <c r="O5" s="26" t="s">
        <v>13</v>
      </c>
      <c r="P5" s="26" t="s">
        <v>14</v>
      </c>
      <c r="Q5" s="26" t="s">
        <v>14</v>
      </c>
      <c r="R5" s="26" t="s">
        <v>14</v>
      </c>
      <c r="S5" s="29" t="s">
        <v>15</v>
      </c>
      <c r="T5" s="27" t="s">
        <v>16</v>
      </c>
      <c r="U5" s="30" t="s">
        <v>17</v>
      </c>
      <c r="V5" s="182" t="s">
        <v>18</v>
      </c>
      <c r="W5" s="31" t="s">
        <v>19</v>
      </c>
      <c r="X5" s="5"/>
    </row>
    <row r="6" spans="1:24" ht="15" x14ac:dyDescent="0.25">
      <c r="A6" s="32" t="s">
        <v>20</v>
      </c>
      <c r="B6" s="33"/>
      <c r="C6" s="33"/>
      <c r="D6" s="34"/>
      <c r="E6" s="20"/>
      <c r="F6" s="35" t="s">
        <v>21</v>
      </c>
      <c r="G6" s="36" t="s">
        <v>22</v>
      </c>
      <c r="H6" s="37" t="s">
        <v>23</v>
      </c>
      <c r="I6" s="38" t="s">
        <v>24</v>
      </c>
      <c r="J6" s="39" t="s">
        <v>25</v>
      </c>
      <c r="K6" s="40" t="s">
        <v>25</v>
      </c>
      <c r="L6" s="41" t="s">
        <v>26</v>
      </c>
      <c r="M6" s="42" t="s">
        <v>27</v>
      </c>
      <c r="N6" s="40" t="s">
        <v>27</v>
      </c>
      <c r="O6" s="40" t="s">
        <v>27</v>
      </c>
      <c r="P6" s="40" t="s">
        <v>28</v>
      </c>
      <c r="Q6" s="40" t="s">
        <v>28</v>
      </c>
      <c r="R6" s="40" t="s">
        <v>28</v>
      </c>
      <c r="S6" s="43" t="s">
        <v>29</v>
      </c>
      <c r="T6" s="41" t="s">
        <v>30</v>
      </c>
      <c r="U6" s="44" t="s">
        <v>25</v>
      </c>
      <c r="V6" s="183"/>
      <c r="W6" s="31" t="s">
        <v>31</v>
      </c>
      <c r="X6" s="5"/>
    </row>
    <row r="7" spans="1:24" ht="15.75" thickBot="1" x14ac:dyDescent="0.3">
      <c r="A7" s="45"/>
      <c r="B7" s="46"/>
      <c r="C7" s="47" t="s">
        <v>32</v>
      </c>
      <c r="D7" s="48"/>
      <c r="E7" s="20"/>
      <c r="F7" s="49"/>
      <c r="G7" s="50" t="s">
        <v>33</v>
      </c>
      <c r="H7" s="51" t="s">
        <v>34</v>
      </c>
      <c r="I7" s="52" t="s">
        <v>35</v>
      </c>
      <c r="J7" s="53" t="s">
        <v>22</v>
      </c>
      <c r="K7" s="54" t="s">
        <v>22</v>
      </c>
      <c r="L7" s="55">
        <f>VLOOKUP(RP-2,MTC,6)*VLOOKUP(RP-2,MTC,7)</f>
        <v>35440.460400000004</v>
      </c>
      <c r="M7" s="56" t="s">
        <v>36</v>
      </c>
      <c r="N7" s="54" t="s">
        <v>37</v>
      </c>
      <c r="O7" s="54" t="s">
        <v>38</v>
      </c>
      <c r="P7" s="54" t="s">
        <v>39</v>
      </c>
      <c r="Q7" s="54" t="s">
        <v>40</v>
      </c>
      <c r="R7" s="54" t="s">
        <v>41</v>
      </c>
      <c r="S7" s="57"/>
      <c r="T7" s="58"/>
      <c r="U7" s="58" t="s">
        <v>22</v>
      </c>
      <c r="V7" s="58" t="s">
        <v>42</v>
      </c>
      <c r="W7" s="31" t="s">
        <v>43</v>
      </c>
      <c r="X7" s="5"/>
    </row>
    <row r="8" spans="1:24" ht="15" x14ac:dyDescent="0.25">
      <c r="A8" s="45" t="s">
        <v>44</v>
      </c>
      <c r="B8" s="46"/>
      <c r="C8" s="46"/>
      <c r="D8" s="34"/>
      <c r="E8" s="20"/>
      <c r="F8" s="59">
        <v>1986</v>
      </c>
      <c r="G8" s="60"/>
      <c r="H8" s="61"/>
      <c r="I8" s="62">
        <f t="shared" ref="I8:I30" si="0">IF(F8=RP-1,1,ROUND($L$7/K8,4))</f>
        <v>11.957000000000001</v>
      </c>
      <c r="J8" s="63">
        <f>CEILING($G8*I8,1)</f>
        <v>0</v>
      </c>
      <c r="K8" s="64">
        <v>2964</v>
      </c>
      <c r="L8" s="65"/>
      <c r="M8" s="66"/>
      <c r="N8" s="64"/>
      <c r="O8" s="67"/>
      <c r="P8" s="67"/>
      <c r="Q8" s="67"/>
      <c r="R8" s="67"/>
      <c r="S8" s="67"/>
      <c r="T8" s="65"/>
      <c r="U8" s="68"/>
      <c r="V8" s="65"/>
      <c r="W8" s="5"/>
      <c r="X8" s="5"/>
    </row>
    <row r="9" spans="1:24" ht="15" x14ac:dyDescent="0.25">
      <c r="A9" s="45" t="s">
        <v>45</v>
      </c>
      <c r="B9" s="46"/>
      <c r="C9" s="46"/>
      <c r="D9" s="34"/>
      <c r="E9" s="20"/>
      <c r="F9" s="69">
        <f t="shared" ref="F9:F48" si="1">F8+1</f>
        <v>1987</v>
      </c>
      <c r="G9" s="70"/>
      <c r="H9" s="71"/>
      <c r="I9" s="72">
        <f t="shared" si="0"/>
        <v>11.712</v>
      </c>
      <c r="J9" s="73">
        <f t="shared" ref="J9:J29" si="2">CEILING($G9*I9,1)</f>
        <v>0</v>
      </c>
      <c r="K9" s="74">
        <v>3026</v>
      </c>
      <c r="L9" s="68"/>
      <c r="M9" s="75"/>
      <c r="N9" s="74"/>
      <c r="O9" s="76"/>
      <c r="P9" s="76"/>
      <c r="Q9" s="76"/>
      <c r="R9" s="76"/>
      <c r="S9" s="76"/>
      <c r="T9" s="68"/>
      <c r="U9" s="68"/>
      <c r="V9" s="68"/>
      <c r="W9" s="5" t="s">
        <v>46</v>
      </c>
      <c r="X9" s="5"/>
    </row>
    <row r="10" spans="1:24" ht="15" x14ac:dyDescent="0.25">
      <c r="A10" s="45" t="s">
        <v>47</v>
      </c>
      <c r="B10" s="46"/>
      <c r="C10" s="47" t="s">
        <v>48</v>
      </c>
      <c r="D10" s="48"/>
      <c r="E10" s="20"/>
      <c r="F10" s="69">
        <f t="shared" si="1"/>
        <v>1988</v>
      </c>
      <c r="G10" s="70"/>
      <c r="H10" s="71"/>
      <c r="I10" s="72">
        <f t="shared" si="0"/>
        <v>11.450900000000001</v>
      </c>
      <c r="J10" s="73">
        <f t="shared" si="2"/>
        <v>0</v>
      </c>
      <c r="K10" s="74">
        <v>3095</v>
      </c>
      <c r="L10" s="68"/>
      <c r="M10" s="75"/>
      <c r="N10" s="74"/>
      <c r="O10" s="76"/>
      <c r="P10" s="76"/>
      <c r="Q10" s="76"/>
      <c r="R10" s="76"/>
      <c r="S10" s="76"/>
      <c r="T10" s="68"/>
      <c r="U10" s="68"/>
      <c r="V10" s="68"/>
      <c r="W10" s="5" t="s">
        <v>49</v>
      </c>
      <c r="X10" s="5"/>
    </row>
    <row r="11" spans="1:24" ht="15" x14ac:dyDescent="0.25">
      <c r="A11" s="45" t="s">
        <v>50</v>
      </c>
      <c r="B11" s="46"/>
      <c r="C11" s="47" t="s">
        <v>51</v>
      </c>
      <c r="D11" s="48"/>
      <c r="E11" s="20"/>
      <c r="F11" s="69">
        <f t="shared" si="1"/>
        <v>1989</v>
      </c>
      <c r="G11" s="70"/>
      <c r="H11" s="71"/>
      <c r="I11" s="72">
        <f t="shared" si="0"/>
        <v>11.18</v>
      </c>
      <c r="J11" s="73">
        <f t="shared" si="2"/>
        <v>0</v>
      </c>
      <c r="K11" s="74">
        <v>3170</v>
      </c>
      <c r="L11" s="68"/>
      <c r="M11" s="75"/>
      <c r="N11" s="74"/>
      <c r="O11" s="76"/>
      <c r="P11" s="76"/>
      <c r="Q11" s="76"/>
      <c r="R11" s="76"/>
      <c r="S11" s="76"/>
      <c r="T11" s="68"/>
      <c r="U11" s="68"/>
      <c r="V11" s="68"/>
      <c r="W11" s="5" t="s">
        <v>52</v>
      </c>
      <c r="X11" s="5"/>
    </row>
    <row r="12" spans="1:24" ht="15.75" thickBot="1" x14ac:dyDescent="0.3">
      <c r="A12" s="45" t="str">
        <f>IF(RP&gt;2009," při pobírání 1/2 důchodu - počet pololetí (ukončených 180 dnů","")</f>
        <v xml:space="preserve"> při pobírání 1/2 důchodu - počet pololetí (ukončených 180 dnů</v>
      </c>
      <c r="B12" s="46"/>
      <c r="C12" s="47"/>
      <c r="D12" s="77"/>
      <c r="E12" s="20"/>
      <c r="F12" s="78">
        <f t="shared" si="1"/>
        <v>1990</v>
      </c>
      <c r="G12" s="79"/>
      <c r="H12" s="80"/>
      <c r="I12" s="81">
        <f t="shared" si="0"/>
        <v>10.785299999999999</v>
      </c>
      <c r="J12" s="82">
        <f t="shared" si="2"/>
        <v>0</v>
      </c>
      <c r="K12" s="83">
        <v>3286</v>
      </c>
      <c r="L12" s="84"/>
      <c r="M12" s="85"/>
      <c r="N12" s="83"/>
      <c r="O12" s="86"/>
      <c r="P12" s="86"/>
      <c r="Q12" s="86"/>
      <c r="R12" s="86"/>
      <c r="S12" s="86"/>
      <c r="T12" s="84"/>
      <c r="U12" s="68"/>
      <c r="V12" s="84"/>
      <c r="W12" s="5" t="s">
        <v>53</v>
      </c>
      <c r="X12" s="5"/>
    </row>
    <row r="13" spans="1:24" ht="15" x14ac:dyDescent="0.25">
      <c r="A13" s="45" t="str">
        <f>IF(RP&gt;2009,"    po 1.1.2010)","")</f>
        <v xml:space="preserve">    po 1.1.2010)</v>
      </c>
      <c r="B13" s="46"/>
      <c r="C13" s="47" t="str">
        <f>IF(RP&gt;2009,"zvýšení sazby o 1,5%","")</f>
        <v>zvýšení sazby o 1,5%</v>
      </c>
      <c r="D13" s="48"/>
      <c r="E13" s="20"/>
      <c r="F13" s="69">
        <f t="shared" si="1"/>
        <v>1991</v>
      </c>
      <c r="G13" s="70"/>
      <c r="H13" s="71"/>
      <c r="I13" s="72">
        <f t="shared" si="0"/>
        <v>9.3460999999999999</v>
      </c>
      <c r="J13" s="73">
        <f t="shared" si="2"/>
        <v>0</v>
      </c>
      <c r="K13" s="74">
        <v>3792</v>
      </c>
      <c r="L13" s="68"/>
      <c r="M13" s="75"/>
      <c r="N13" s="65"/>
      <c r="O13" s="65"/>
      <c r="P13" s="65"/>
      <c r="Q13" s="65"/>
      <c r="R13" s="65"/>
      <c r="S13" s="65"/>
      <c r="T13" s="65"/>
      <c r="U13" s="65"/>
      <c r="V13" s="65"/>
      <c r="W13" s="5" t="s">
        <v>54</v>
      </c>
      <c r="X13" s="5"/>
    </row>
    <row r="14" spans="1:24" ht="15" x14ac:dyDescent="0.25">
      <c r="A14" s="45" t="str">
        <f>IF(RP&gt;2009," při pobírání plného důchodu - počet roků (ukončených 360 dnů","")</f>
        <v xml:space="preserve"> při pobírání plného důchodu - počet roků (ukončených 360 dnů</v>
      </c>
      <c r="B14" s="46"/>
      <c r="C14" s="47"/>
      <c r="D14" s="77"/>
      <c r="E14" s="20"/>
      <c r="F14" s="69">
        <f t="shared" si="1"/>
        <v>1992</v>
      </c>
      <c r="G14" s="70"/>
      <c r="H14" s="71"/>
      <c r="I14" s="72">
        <f t="shared" si="0"/>
        <v>7.6315</v>
      </c>
      <c r="J14" s="73">
        <f t="shared" si="2"/>
        <v>0</v>
      </c>
      <c r="K14" s="74">
        <v>4644</v>
      </c>
      <c r="L14" s="68"/>
      <c r="M14" s="75"/>
      <c r="N14" s="74"/>
      <c r="O14" s="76"/>
      <c r="P14" s="76"/>
      <c r="Q14" s="76"/>
      <c r="R14" s="76"/>
      <c r="S14" s="76"/>
      <c r="T14" s="68"/>
      <c r="U14" s="68"/>
      <c r="V14" s="68"/>
      <c r="W14" s="5" t="s">
        <v>55</v>
      </c>
      <c r="X14" s="5"/>
    </row>
    <row r="15" spans="1:24" ht="15" x14ac:dyDescent="0.25">
      <c r="A15" s="45" t="str">
        <f>IF(RP&gt;2009,"    po 1.1.2010)","")</f>
        <v xml:space="preserve">    po 1.1.2010)</v>
      </c>
      <c r="B15" s="46"/>
      <c r="C15" s="47" t="str">
        <f>IF(RP&gt;2009,"zvýšení sazby o 0,4%","")</f>
        <v>zvýšení sazby o 0,4%</v>
      </c>
      <c r="D15" s="48"/>
      <c r="E15" s="87"/>
      <c r="F15" s="69">
        <f t="shared" si="1"/>
        <v>1993</v>
      </c>
      <c r="G15" s="70"/>
      <c r="H15" s="71"/>
      <c r="I15" s="72">
        <f t="shared" si="0"/>
        <v>6.0926</v>
      </c>
      <c r="J15" s="73">
        <f t="shared" si="2"/>
        <v>0</v>
      </c>
      <c r="K15" s="74">
        <v>5817</v>
      </c>
      <c r="L15" s="68"/>
      <c r="M15" s="75"/>
      <c r="N15" s="74"/>
      <c r="O15" s="76"/>
      <c r="P15" s="76"/>
      <c r="Q15" s="76"/>
      <c r="R15" s="76"/>
      <c r="S15" s="76"/>
      <c r="T15" s="68"/>
      <c r="U15" s="68"/>
      <c r="V15" s="68"/>
      <c r="W15" s="5" t="s">
        <v>56</v>
      </c>
      <c r="X15" s="5"/>
    </row>
    <row r="16" spans="1:24" ht="15" x14ac:dyDescent="0.25">
      <c r="A16" s="45" t="s">
        <v>57</v>
      </c>
      <c r="B16" s="46"/>
      <c r="C16" s="46"/>
      <c r="D16" s="34"/>
      <c r="E16" s="88"/>
      <c r="F16" s="69">
        <f t="shared" si="1"/>
        <v>1994</v>
      </c>
      <c r="G16" s="70"/>
      <c r="H16" s="71"/>
      <c r="I16" s="72">
        <f t="shared" si="0"/>
        <v>5.1393000000000004</v>
      </c>
      <c r="J16" s="73">
        <f t="shared" si="2"/>
        <v>0</v>
      </c>
      <c r="K16" s="74">
        <v>6896</v>
      </c>
      <c r="L16" s="89">
        <v>1.1914</v>
      </c>
      <c r="M16" s="75"/>
      <c r="N16" s="74"/>
      <c r="O16" s="76"/>
      <c r="P16" s="76"/>
      <c r="Q16" s="76"/>
      <c r="R16" s="76"/>
      <c r="S16" s="76"/>
      <c r="T16" s="68"/>
      <c r="U16" s="68"/>
      <c r="V16" s="68"/>
      <c r="W16" s="5" t="s">
        <v>85</v>
      </c>
      <c r="X16" s="5"/>
    </row>
    <row r="17" spans="1:28" ht="15.75" thickBot="1" x14ac:dyDescent="0.3">
      <c r="A17" s="45" t="s">
        <v>58</v>
      </c>
      <c r="B17" s="46"/>
      <c r="C17" s="46"/>
      <c r="D17" s="34"/>
      <c r="E17" s="90"/>
      <c r="F17" s="78">
        <f t="shared" si="1"/>
        <v>1995</v>
      </c>
      <c r="G17" s="79"/>
      <c r="H17" s="80"/>
      <c r="I17" s="81">
        <f t="shared" si="0"/>
        <v>4.3368000000000002</v>
      </c>
      <c r="J17" s="82">
        <f t="shared" si="2"/>
        <v>0</v>
      </c>
      <c r="K17" s="83">
        <v>8172</v>
      </c>
      <c r="L17" s="91">
        <v>1.1978</v>
      </c>
      <c r="M17" s="85"/>
      <c r="N17" s="83"/>
      <c r="O17" s="86"/>
      <c r="P17" s="86"/>
      <c r="Q17" s="86"/>
      <c r="R17" s="86"/>
      <c r="S17" s="86"/>
      <c r="T17" s="84"/>
      <c r="U17" s="84"/>
      <c r="V17" s="84"/>
      <c r="W17" s="5"/>
      <c r="X17" s="5"/>
    </row>
    <row r="18" spans="1:28" ht="15" x14ac:dyDescent="0.25">
      <c r="A18" s="45" t="s">
        <v>59</v>
      </c>
      <c r="B18" s="46"/>
      <c r="C18" s="47" t="str">
        <f>IF(RP&lt;2002,"snížení sazby o 0,6%",IF(RP&lt;2010,"snížení sazby o 0,9%",IF(RP&lt;2012,"snížení sazby o 0,9% a 1,5%","snížení o 0,9%; 1,2%; 1,5%")))</f>
        <v>snížení o 0,9%; 1,2%; 1,5%</v>
      </c>
      <c r="D18" s="48"/>
      <c r="E18" s="90"/>
      <c r="F18" s="69">
        <f t="shared" si="1"/>
        <v>1996</v>
      </c>
      <c r="G18" s="70"/>
      <c r="H18" s="71"/>
      <c r="I18" s="72">
        <f t="shared" si="0"/>
        <v>3.6627000000000001</v>
      </c>
      <c r="J18" s="73">
        <f t="shared" si="2"/>
        <v>0</v>
      </c>
      <c r="K18" s="74">
        <v>9676</v>
      </c>
      <c r="L18" s="89">
        <v>1.1194</v>
      </c>
      <c r="M18" s="75">
        <v>5000</v>
      </c>
      <c r="N18" s="74">
        <v>10000</v>
      </c>
      <c r="O18" s="76"/>
      <c r="P18" s="92">
        <v>0.3</v>
      </c>
      <c r="Q18" s="92">
        <v>0.1</v>
      </c>
      <c r="R18" s="76"/>
      <c r="S18" s="76">
        <v>680</v>
      </c>
      <c r="T18" s="68"/>
      <c r="U18" s="68"/>
      <c r="V18" s="65"/>
      <c r="W18" s="5" t="s">
        <v>84</v>
      </c>
      <c r="X18" s="5"/>
    </row>
    <row r="19" spans="1:28" ht="15" x14ac:dyDescent="0.25">
      <c r="A19" s="45" t="str">
        <f>IF(RP&lt;2007,"dočasně krácené (§ 30)","")</f>
        <v/>
      </c>
      <c r="B19" s="46"/>
      <c r="C19" s="47" t="str">
        <f>IF(RP&gt;2006,"","snížení sazby o "&amp;IF(RP&lt;2002,"1,0%","1,3%"))</f>
        <v/>
      </c>
      <c r="D19" s="48"/>
      <c r="E19" s="90"/>
      <c r="F19" s="69">
        <f t="shared" si="1"/>
        <v>1997</v>
      </c>
      <c r="G19" s="70"/>
      <c r="H19" s="71"/>
      <c r="I19" s="72">
        <f t="shared" si="0"/>
        <v>3.3134000000000001</v>
      </c>
      <c r="J19" s="73">
        <f t="shared" si="2"/>
        <v>0</v>
      </c>
      <c r="K19" s="74">
        <v>10696</v>
      </c>
      <c r="L19" s="89">
        <v>1.0891</v>
      </c>
      <c r="M19" s="75">
        <v>5600</v>
      </c>
      <c r="N19" s="74">
        <v>11200</v>
      </c>
      <c r="O19" s="76"/>
      <c r="P19" s="92">
        <v>0.3</v>
      </c>
      <c r="Q19" s="92">
        <v>0.1</v>
      </c>
      <c r="R19" s="76"/>
      <c r="S19" s="76">
        <v>1060</v>
      </c>
      <c r="T19" s="68"/>
      <c r="U19" s="68"/>
      <c r="V19" s="68"/>
      <c r="W19" s="5" t="str">
        <f>"Pro důchody přiznané po roce "&amp;maxB&amp; " nejsou ještě známy potřebné statistické údaje o průměrné mzdě a proto je pro výpočet výše důchodu použit Vámi odhadovaný růst průměrné mzdy."</f>
        <v>Pro důchody přiznané po roce 2021 nejsou ještě známy potřebné statistické údaje o průměrné mzdě a proto je pro výpočet výše důchodu použit Vámi odhadovaný růst průměrné mzdy.</v>
      </c>
      <c r="X19" s="5"/>
    </row>
    <row r="20" spans="1:28" ht="15" x14ac:dyDescent="0.25">
      <c r="A20" s="93" t="s">
        <v>60</v>
      </c>
      <c r="B20" s="46"/>
      <c r="C20" s="46"/>
      <c r="D20" s="34"/>
      <c r="E20" s="90"/>
      <c r="F20" s="69">
        <f t="shared" si="1"/>
        <v>1998</v>
      </c>
      <c r="G20" s="70"/>
      <c r="H20" s="71"/>
      <c r="I20" s="72">
        <f t="shared" si="0"/>
        <v>3.0308999999999999</v>
      </c>
      <c r="J20" s="73">
        <f t="shared" si="2"/>
        <v>0</v>
      </c>
      <c r="K20" s="74">
        <v>11693</v>
      </c>
      <c r="L20" s="89">
        <v>1.085</v>
      </c>
      <c r="M20" s="75">
        <v>5900</v>
      </c>
      <c r="N20" s="74">
        <v>11800</v>
      </c>
      <c r="O20" s="76"/>
      <c r="P20" s="92">
        <v>0.3</v>
      </c>
      <c r="Q20" s="92">
        <v>0.1</v>
      </c>
      <c r="R20" s="76"/>
      <c r="S20" s="76">
        <v>1260</v>
      </c>
      <c r="T20" s="68"/>
      <c r="U20" s="68"/>
      <c r="V20" s="68"/>
      <c r="W20" s="5"/>
      <c r="X20" s="5"/>
    </row>
    <row r="21" spans="1:28" ht="15" x14ac:dyDescent="0.25">
      <c r="A21" s="45" t="s">
        <v>61</v>
      </c>
      <c r="B21" s="46"/>
      <c r="C21" s="46"/>
      <c r="D21" s="94">
        <f>ROUND(D7,0)*0.015</f>
        <v>0</v>
      </c>
      <c r="E21" s="95"/>
      <c r="F21" s="69">
        <f t="shared" si="1"/>
        <v>1999</v>
      </c>
      <c r="G21" s="70"/>
      <c r="H21" s="71"/>
      <c r="I21" s="72">
        <f t="shared" si="0"/>
        <v>2.8005</v>
      </c>
      <c r="J21" s="73">
        <f t="shared" si="2"/>
        <v>0</v>
      </c>
      <c r="K21" s="74">
        <v>12655</v>
      </c>
      <c r="L21" s="89">
        <v>1.0620000000000001</v>
      </c>
      <c r="M21" s="75">
        <v>6100</v>
      </c>
      <c r="N21" s="74">
        <v>13000</v>
      </c>
      <c r="O21" s="76"/>
      <c r="P21" s="92">
        <v>0.3</v>
      </c>
      <c r="Q21" s="92">
        <v>0.1</v>
      </c>
      <c r="R21" s="76"/>
      <c r="S21" s="76">
        <v>1310</v>
      </c>
      <c r="T21" s="68"/>
      <c r="U21" s="68"/>
      <c r="V21" s="68"/>
      <c r="W21" s="162" t="s">
        <v>86</v>
      </c>
      <c r="X21" s="163"/>
      <c r="Y21" s="164"/>
      <c r="Z21" s="164"/>
      <c r="AA21" s="164"/>
      <c r="AB21" s="164"/>
    </row>
    <row r="22" spans="1:28" ht="15.75" thickBot="1" x14ac:dyDescent="0.3">
      <c r="A22" s="45" t="s">
        <v>62</v>
      </c>
      <c r="B22" s="46"/>
      <c r="C22" s="46"/>
      <c r="D22" s="94">
        <f>ROUND(D10,0)*0.01+ROUND(D11,0)*0.015+IF(RP&lt;2010,0,ROUND(D13,0)*0.015+ROUND(D15,0)*0.004)</f>
        <v>0</v>
      </c>
      <c r="E22" s="90"/>
      <c r="F22" s="78">
        <f t="shared" si="1"/>
        <v>2000</v>
      </c>
      <c r="G22" s="79"/>
      <c r="H22" s="80"/>
      <c r="I22" s="81">
        <f t="shared" si="0"/>
        <v>2.6272000000000002</v>
      </c>
      <c r="J22" s="82">
        <f t="shared" si="2"/>
        <v>0</v>
      </c>
      <c r="K22" s="83">
        <v>13490</v>
      </c>
      <c r="L22" s="91">
        <v>1.0942000000000001</v>
      </c>
      <c r="M22" s="85">
        <v>6300</v>
      </c>
      <c r="N22" s="83">
        <v>14200</v>
      </c>
      <c r="O22" s="86"/>
      <c r="P22" s="96">
        <v>0.3</v>
      </c>
      <c r="Q22" s="96">
        <v>0.1</v>
      </c>
      <c r="R22" s="86"/>
      <c r="S22" s="86">
        <v>1310</v>
      </c>
      <c r="T22" s="84"/>
      <c r="U22" s="68"/>
      <c r="V22" s="84"/>
      <c r="W22" s="162" t="s">
        <v>88</v>
      </c>
      <c r="X22" s="163"/>
      <c r="Y22" s="164"/>
      <c r="Z22" s="164"/>
      <c r="AA22" s="164"/>
      <c r="AB22" s="164"/>
    </row>
    <row r="23" spans="1:28" ht="15" x14ac:dyDescent="0.25">
      <c r="A23" s="45" t="s">
        <v>63</v>
      </c>
      <c r="B23" s="46"/>
      <c r="C23" s="97">
        <f>ROUND(D18,0)</f>
        <v>0</v>
      </c>
      <c r="D23" s="94">
        <f>-IF(RP&lt;2002,0.006*C23,IF(RP&lt;2010,0.009*C23,IF(RP&lt;2012,0.009*MIN(8,C23)+0.015*MAX(0,C23-8),0.009*MIN(4,C23)+0.012*MAX(0,C23-4)+0.003*MAX(0,C23-8))))-IF(RP&gt;2006,0,ROUND(D19,0)*IF(RP&lt;2002,0.01,0.013))</f>
        <v>0</v>
      </c>
      <c r="E23" s="88"/>
      <c r="F23" s="69">
        <f t="shared" si="1"/>
        <v>2001</v>
      </c>
      <c r="G23" s="70"/>
      <c r="H23" s="71"/>
      <c r="I23" s="72">
        <f t="shared" si="0"/>
        <v>2.4207999999999998</v>
      </c>
      <c r="J23" s="73">
        <f t="shared" si="2"/>
        <v>0</v>
      </c>
      <c r="K23" s="74">
        <v>14640</v>
      </c>
      <c r="L23" s="89">
        <v>1.0692999999999999</v>
      </c>
      <c r="M23" s="75">
        <v>6600</v>
      </c>
      <c r="N23" s="74">
        <v>15300</v>
      </c>
      <c r="O23" s="76"/>
      <c r="P23" s="92">
        <v>0.3</v>
      </c>
      <c r="Q23" s="92">
        <v>0.1</v>
      </c>
      <c r="R23" s="76"/>
      <c r="S23" s="76">
        <v>1310</v>
      </c>
      <c r="T23" s="68"/>
      <c r="U23" s="65"/>
      <c r="V23" s="65"/>
      <c r="W23" s="162" t="s">
        <v>87</v>
      </c>
      <c r="X23" s="163"/>
      <c r="Y23" s="164"/>
      <c r="Z23" s="164"/>
      <c r="AA23" s="164"/>
      <c r="AB23" s="164"/>
    </row>
    <row r="24" spans="1:28" ht="15.75" thickBot="1" x14ac:dyDescent="0.3">
      <c r="A24" s="98"/>
      <c r="B24" s="99"/>
      <c r="C24" s="99" t="s">
        <v>64</v>
      </c>
      <c r="D24" s="100">
        <f>SUM(D21:D23)</f>
        <v>0</v>
      </c>
      <c r="E24" s="20"/>
      <c r="F24" s="69">
        <f t="shared" si="1"/>
        <v>2002</v>
      </c>
      <c r="G24" s="70"/>
      <c r="H24" s="71"/>
      <c r="I24" s="72">
        <f t="shared" si="0"/>
        <v>2.2557999999999998</v>
      </c>
      <c r="J24" s="73">
        <f t="shared" si="2"/>
        <v>0</v>
      </c>
      <c r="K24" s="74">
        <v>15711</v>
      </c>
      <c r="L24" s="89">
        <v>1.0717000000000001</v>
      </c>
      <c r="M24" s="75">
        <v>7100</v>
      </c>
      <c r="N24" s="74">
        <v>16800</v>
      </c>
      <c r="O24" s="76"/>
      <c r="P24" s="92">
        <v>0.3</v>
      </c>
      <c r="Q24" s="92">
        <v>0.1</v>
      </c>
      <c r="R24" s="76"/>
      <c r="S24" s="76">
        <v>1310</v>
      </c>
      <c r="T24" s="68"/>
      <c r="U24" s="68"/>
      <c r="V24" s="101"/>
      <c r="W24" s="102"/>
      <c r="X24" s="5"/>
    </row>
    <row r="25" spans="1:28" ht="15" x14ac:dyDescent="0.25">
      <c r="A25" s="103" t="str">
        <f>" Stanovení výpočtového základu v roce "&amp;RP</f>
        <v xml:space="preserve"> Stanovení výpočtového základu v roce 2021</v>
      </c>
      <c r="B25" s="18"/>
      <c r="C25" s="18"/>
      <c r="D25" s="104"/>
      <c r="E25" s="20"/>
      <c r="F25" s="69">
        <f t="shared" si="1"/>
        <v>2003</v>
      </c>
      <c r="G25" s="70"/>
      <c r="H25" s="71"/>
      <c r="I25" s="72">
        <f t="shared" si="0"/>
        <v>2.1135000000000002</v>
      </c>
      <c r="J25" s="73">
        <f t="shared" si="2"/>
        <v>0</v>
      </c>
      <c r="K25" s="74">
        <v>16769</v>
      </c>
      <c r="L25" s="89">
        <v>1.0665</v>
      </c>
      <c r="M25" s="75">
        <v>7400</v>
      </c>
      <c r="N25" s="74">
        <v>17900</v>
      </c>
      <c r="O25" s="76"/>
      <c r="P25" s="92">
        <v>0.3</v>
      </c>
      <c r="Q25" s="92">
        <v>0.1</v>
      </c>
      <c r="R25" s="76"/>
      <c r="S25" s="76">
        <v>1310</v>
      </c>
      <c r="T25" s="68"/>
      <c r="U25" s="68"/>
      <c r="V25" s="101"/>
      <c r="W25" s="102"/>
      <c r="X25" s="5"/>
    </row>
    <row r="26" spans="1:28" ht="15" x14ac:dyDescent="0.25">
      <c r="A26" s="45" t="s">
        <v>65</v>
      </c>
      <c r="B26" s="46"/>
      <c r="C26" s="105" t="s">
        <v>66</v>
      </c>
      <c r="D26" s="106">
        <f>RP-1</f>
        <v>2020</v>
      </c>
      <c r="E26" s="20"/>
      <c r="F26" s="69">
        <f t="shared" si="1"/>
        <v>2004</v>
      </c>
      <c r="G26" s="70"/>
      <c r="H26" s="71"/>
      <c r="I26" s="72">
        <f t="shared" si="0"/>
        <v>1.9819</v>
      </c>
      <c r="J26" s="73">
        <f t="shared" si="2"/>
        <v>0</v>
      </c>
      <c r="K26" s="74">
        <v>17882</v>
      </c>
      <c r="L26" s="89">
        <v>1.0531999999999999</v>
      </c>
      <c r="M26" s="75">
        <v>7500</v>
      </c>
      <c r="N26" s="74">
        <v>19200</v>
      </c>
      <c r="O26" s="76"/>
      <c r="P26" s="92">
        <v>0.3</v>
      </c>
      <c r="Q26" s="92">
        <v>0.1</v>
      </c>
      <c r="R26" s="76"/>
      <c r="S26" s="76">
        <v>1310</v>
      </c>
      <c r="T26" s="68"/>
      <c r="U26" s="68"/>
      <c r="V26" s="101"/>
      <c r="W26" s="5"/>
      <c r="X26" s="5"/>
    </row>
    <row r="27" spans="1:28" ht="15.75" thickBot="1" x14ac:dyDescent="0.3">
      <c r="A27" s="32" t="s">
        <v>67</v>
      </c>
      <c r="B27" s="107"/>
      <c r="C27" s="107"/>
      <c r="D27" s="108">
        <f ca="1">SUM(OFFSET(J8,0,0,D30))</f>
        <v>0</v>
      </c>
      <c r="E27" s="20"/>
      <c r="F27" s="78">
        <f t="shared" si="1"/>
        <v>2005</v>
      </c>
      <c r="G27" s="79"/>
      <c r="H27" s="80"/>
      <c r="I27" s="81">
        <f t="shared" si="0"/>
        <v>1.8842000000000001</v>
      </c>
      <c r="J27" s="82">
        <f t="shared" si="2"/>
        <v>0</v>
      </c>
      <c r="K27" s="83">
        <v>18809</v>
      </c>
      <c r="L27" s="91">
        <v>1.0707</v>
      </c>
      <c r="M27" s="85">
        <v>8400</v>
      </c>
      <c r="N27" s="83">
        <v>20500</v>
      </c>
      <c r="O27" s="86"/>
      <c r="P27" s="96">
        <v>0.3</v>
      </c>
      <c r="Q27" s="96">
        <v>0.1</v>
      </c>
      <c r="R27" s="86"/>
      <c r="S27" s="86">
        <v>1400</v>
      </c>
      <c r="T27" s="84"/>
      <c r="U27" s="84"/>
      <c r="V27" s="109"/>
      <c r="W27" s="5"/>
      <c r="X27" s="5"/>
    </row>
    <row r="28" spans="1:28" ht="15" x14ac:dyDescent="0.25">
      <c r="A28" s="32" t="s">
        <v>68</v>
      </c>
      <c r="B28" s="110" t="s">
        <v>69</v>
      </c>
      <c r="C28" s="46">
        <f>DATE(D26,12,31)-DATE(1986,1,1)+1</f>
        <v>12784</v>
      </c>
      <c r="D28" s="34"/>
      <c r="E28" s="20"/>
      <c r="F28" s="59">
        <f t="shared" si="1"/>
        <v>2006</v>
      </c>
      <c r="G28" s="60"/>
      <c r="H28" s="61"/>
      <c r="I28" s="62">
        <f t="shared" si="0"/>
        <v>1.7676000000000001</v>
      </c>
      <c r="J28" s="63">
        <f t="shared" si="2"/>
        <v>0</v>
      </c>
      <c r="K28" s="64">
        <v>20050</v>
      </c>
      <c r="L28" s="111">
        <v>1.0752999999999999</v>
      </c>
      <c r="M28" s="66">
        <v>9100</v>
      </c>
      <c r="N28" s="64">
        <v>21800</v>
      </c>
      <c r="O28" s="67"/>
      <c r="P28" s="112">
        <v>0.3</v>
      </c>
      <c r="Q28" s="112">
        <v>0.1</v>
      </c>
      <c r="R28" s="67"/>
      <c r="S28" s="67">
        <v>1470</v>
      </c>
      <c r="T28" s="65"/>
      <c r="U28" s="65"/>
      <c r="V28" s="30"/>
      <c r="W28" s="5"/>
      <c r="X28" s="5"/>
    </row>
    <row r="29" spans="1:28" ht="15" x14ac:dyDescent="0.25">
      <c r="A29" s="32"/>
      <c r="B29" s="110" t="s">
        <v>70</v>
      </c>
      <c r="C29" s="46">
        <f ca="1">SUM(OFFSET(H8,0,0,D30))</f>
        <v>0</v>
      </c>
      <c r="D29" s="34"/>
      <c r="E29" s="20"/>
      <c r="F29" s="69">
        <f t="shared" si="1"/>
        <v>2007</v>
      </c>
      <c r="G29" s="70"/>
      <c r="H29" s="71"/>
      <c r="I29" s="72">
        <f t="shared" si="0"/>
        <v>1.6463000000000001</v>
      </c>
      <c r="J29" s="73">
        <f t="shared" si="2"/>
        <v>0</v>
      </c>
      <c r="K29" s="74">
        <v>21527</v>
      </c>
      <c r="L29" s="89">
        <v>1.0942000000000001</v>
      </c>
      <c r="M29" s="113">
        <v>9600</v>
      </c>
      <c r="N29" s="114">
        <v>23300</v>
      </c>
      <c r="O29" s="115"/>
      <c r="P29" s="116">
        <v>0.3</v>
      </c>
      <c r="Q29" s="116">
        <v>0.1</v>
      </c>
      <c r="R29" s="115"/>
      <c r="S29" s="115">
        <v>1570</v>
      </c>
      <c r="T29" s="117"/>
      <c r="U29" s="117"/>
      <c r="V29" s="44"/>
      <c r="W29" s="5"/>
      <c r="X29" s="5"/>
    </row>
    <row r="30" spans="1:28" ht="15" x14ac:dyDescent="0.25">
      <c r="A30" s="32" t="s">
        <v>71</v>
      </c>
      <c r="B30" s="107"/>
      <c r="C30" s="46">
        <f ca="1">CEILING(D27*30.4167/(C28-C29),1)</f>
        <v>0</v>
      </c>
      <c r="D30" s="118">
        <f>D26-1985</f>
        <v>35</v>
      </c>
      <c r="E30" s="20"/>
      <c r="F30" s="69">
        <f t="shared" si="1"/>
        <v>2008</v>
      </c>
      <c r="G30" s="70"/>
      <c r="H30" s="71"/>
      <c r="I30" s="72">
        <f t="shared" si="0"/>
        <v>1.5224</v>
      </c>
      <c r="J30" s="73">
        <f t="shared" ref="J30:J42" si="3">IF(G30&gt;0,CEILING(MIN($G30,U30)*I30,1),0)</f>
        <v>0</v>
      </c>
      <c r="K30" s="74">
        <v>23280</v>
      </c>
      <c r="L30" s="89">
        <v>1.0184</v>
      </c>
      <c r="M30" s="113">
        <v>10000</v>
      </c>
      <c r="N30" s="114">
        <v>24800</v>
      </c>
      <c r="O30" s="115"/>
      <c r="P30" s="116">
        <v>0.3</v>
      </c>
      <c r="Q30" s="116">
        <v>0.1</v>
      </c>
      <c r="R30" s="115"/>
      <c r="S30" s="115">
        <v>2170</v>
      </c>
      <c r="T30" s="117">
        <f>CEILING(K28*L28,1)</f>
        <v>21560</v>
      </c>
      <c r="U30" s="117">
        <f t="shared" ref="U30:U44" si="4">T30*V30*12</f>
        <v>1034880</v>
      </c>
      <c r="V30" s="44">
        <v>4</v>
      </c>
      <c r="W30" s="5"/>
      <c r="X30" s="5"/>
    </row>
    <row r="31" spans="1:28" ht="15" x14ac:dyDescent="0.25">
      <c r="A31" s="32" t="s">
        <v>72</v>
      </c>
      <c r="B31" s="107"/>
      <c r="C31" s="184" t="str">
        <f>TEXT(M49,"## ###")&amp;" ; "&amp;TEXT(N49,"## ###")&amp;IF(O49&gt;0," ; "&amp;TEXT(O49,"## ###"),"")</f>
        <v>15 595 ; 141 764</v>
      </c>
      <c r="D31" s="185"/>
      <c r="E31" s="20"/>
      <c r="F31" s="69">
        <f t="shared" si="1"/>
        <v>2009</v>
      </c>
      <c r="G31" s="70"/>
      <c r="H31" s="71"/>
      <c r="I31" s="72">
        <f>IF(F31=RP-1,1,ROUND($L$7/K31,4))</f>
        <v>1.4711000000000001</v>
      </c>
      <c r="J31" s="73">
        <f t="shared" si="3"/>
        <v>0</v>
      </c>
      <c r="K31" s="74">
        <v>24091</v>
      </c>
      <c r="L31" s="89">
        <v>1.0268999999999999</v>
      </c>
      <c r="M31" s="113">
        <v>10500</v>
      </c>
      <c r="N31" s="114">
        <v>27000</v>
      </c>
      <c r="O31" s="115"/>
      <c r="P31" s="116">
        <v>0.3</v>
      </c>
      <c r="Q31" s="116">
        <v>0.1</v>
      </c>
      <c r="R31" s="115"/>
      <c r="S31" s="115">
        <v>2170</v>
      </c>
      <c r="T31" s="117">
        <f t="shared" ref="T31:T37" si="5">MAX(CEILING(K29*L29,1),T30)</f>
        <v>23555</v>
      </c>
      <c r="U31" s="117">
        <f t="shared" si="4"/>
        <v>1130640</v>
      </c>
      <c r="V31" s="44">
        <v>4</v>
      </c>
      <c r="W31" s="5"/>
      <c r="X31" s="5"/>
    </row>
    <row r="32" spans="1:28" ht="15.75" thickBot="1" x14ac:dyDescent="0.3">
      <c r="A32" s="32"/>
      <c r="B32" s="110" t="s">
        <v>73</v>
      </c>
      <c r="C32" s="184" t="str">
        <f>"100% ; "&amp;TEXT(P48,"##%")&amp;IF(Q48&gt;0," ; "&amp;TEXT(Q48,"##%"),"")&amp;IF(R48&gt;0," ; "&amp;TEXT(R48,"##%"),"")</f>
        <v>100% ; 26%</v>
      </c>
      <c r="D32" s="185"/>
      <c r="E32" s="20"/>
      <c r="F32" s="78">
        <f t="shared" si="1"/>
        <v>2010</v>
      </c>
      <c r="G32" s="79"/>
      <c r="H32" s="80"/>
      <c r="I32" s="81">
        <f>IF(F32=RP-1,1,ROUND($L$7/K32,4))</f>
        <v>1.4450000000000001</v>
      </c>
      <c r="J32" s="82">
        <f t="shared" si="3"/>
        <v>0</v>
      </c>
      <c r="K32" s="83">
        <v>24526</v>
      </c>
      <c r="L32" s="91">
        <v>1.0248999999999999</v>
      </c>
      <c r="M32" s="119">
        <v>10500</v>
      </c>
      <c r="N32" s="120">
        <v>27000</v>
      </c>
      <c r="O32" s="121"/>
      <c r="P32" s="122">
        <v>0.3</v>
      </c>
      <c r="Q32" s="122">
        <v>0.1</v>
      </c>
      <c r="R32" s="121"/>
      <c r="S32" s="121">
        <v>2170</v>
      </c>
      <c r="T32" s="123">
        <f t="shared" si="5"/>
        <v>23709</v>
      </c>
      <c r="U32" s="123">
        <f t="shared" si="4"/>
        <v>1707048</v>
      </c>
      <c r="V32" s="124">
        <v>6</v>
      </c>
      <c r="W32" s="5"/>
      <c r="X32" s="5"/>
    </row>
    <row r="33" spans="1:24" ht="15.75" thickBot="1" x14ac:dyDescent="0.3">
      <c r="A33" s="125"/>
      <c r="B33" s="126" t="s">
        <v>74</v>
      </c>
      <c r="C33" s="178">
        <f ca="1">CEILING(S49+T49,1)</f>
        <v>0</v>
      </c>
      <c r="D33" s="179"/>
      <c r="E33" s="20"/>
      <c r="F33" s="59">
        <f t="shared" si="1"/>
        <v>2011</v>
      </c>
      <c r="G33" s="70"/>
      <c r="H33" s="71"/>
      <c r="I33" s="62">
        <f>IF(F33=RP-1,1,ROUND($L$7/K33,4))</f>
        <v>1.4124000000000001</v>
      </c>
      <c r="J33" s="63">
        <f t="shared" si="3"/>
        <v>0</v>
      </c>
      <c r="K33" s="127">
        <v>25093</v>
      </c>
      <c r="L33" s="128">
        <v>1.0315000000000001</v>
      </c>
      <c r="M33" s="127">
        <f>IF(US=1,CEILING($T33*0.44,1),11000)</f>
        <v>10886</v>
      </c>
      <c r="N33" s="127">
        <f>IF(US=1,CEILING($T33*1.16,1),28200)</f>
        <v>28699</v>
      </c>
      <c r="O33" s="129">
        <f>IF(US=1,CEILING($T33*4,1),0)</f>
        <v>98960</v>
      </c>
      <c r="P33" s="130">
        <f>IF(US=1,0.29,0.3)</f>
        <v>0.28999999999999998</v>
      </c>
      <c r="Q33" s="130">
        <f>IF(US=1,0.13,0.1)</f>
        <v>0.13</v>
      </c>
      <c r="R33" s="131">
        <f>IF(US=1,0.1,0)</f>
        <v>0.1</v>
      </c>
      <c r="S33" s="129">
        <v>2230</v>
      </c>
      <c r="T33" s="132">
        <f t="shared" si="5"/>
        <v>24740</v>
      </c>
      <c r="U33" s="132">
        <f t="shared" si="4"/>
        <v>1781280</v>
      </c>
      <c r="V33" s="30">
        <v>6</v>
      </c>
      <c r="W33" s="5"/>
      <c r="X33" s="5"/>
    </row>
    <row r="34" spans="1:24" ht="15" x14ac:dyDescent="0.25">
      <c r="A34" s="133" t="s">
        <v>75</v>
      </c>
      <c r="B34" s="134"/>
      <c r="C34" s="135" t="str">
        <f>IF(RP&gt;maxB,"podle odhadu růstu mezd","")</f>
        <v/>
      </c>
      <c r="D34" s="136"/>
      <c r="E34" s="20"/>
      <c r="F34" s="69">
        <f t="shared" si="1"/>
        <v>2012</v>
      </c>
      <c r="G34" s="70"/>
      <c r="H34" s="71"/>
      <c r="I34" s="72">
        <f>IF(F34=RP-1,1,ROUND($L$7/K34,4))</f>
        <v>1.3682000000000001</v>
      </c>
      <c r="J34" s="73">
        <f t="shared" si="3"/>
        <v>0</v>
      </c>
      <c r="K34" s="74">
        <v>25903</v>
      </c>
      <c r="L34" s="89">
        <v>1.0015000000000001</v>
      </c>
      <c r="M34" s="114">
        <v>11061</v>
      </c>
      <c r="N34" s="114">
        <v>29159</v>
      </c>
      <c r="O34" s="115">
        <v>100548</v>
      </c>
      <c r="P34" s="116">
        <v>0.28000000000000003</v>
      </c>
      <c r="Q34" s="116">
        <v>0.16</v>
      </c>
      <c r="R34" s="137">
        <v>0.08</v>
      </c>
      <c r="S34" s="115">
        <f t="shared" ref="S34:S40" si="6">CEILING($T34*0.09,10)</f>
        <v>2270</v>
      </c>
      <c r="T34" s="117">
        <f t="shared" si="5"/>
        <v>25137</v>
      </c>
      <c r="U34" s="117">
        <f t="shared" si="4"/>
        <v>1206576</v>
      </c>
      <c r="V34" s="44">
        <v>4</v>
      </c>
      <c r="W34" s="5"/>
      <c r="X34" s="5"/>
    </row>
    <row r="35" spans="1:24" ht="15" x14ac:dyDescent="0.25">
      <c r="A35" s="138"/>
      <c r="B35" s="139" t="s">
        <v>76</v>
      </c>
      <c r="C35" s="139"/>
      <c r="D35" s="140">
        <f>VLOOKUP(RP,MTC,14)</f>
        <v>3550</v>
      </c>
      <c r="E35" s="20"/>
      <c r="F35" s="69">
        <f t="shared" si="1"/>
        <v>2013</v>
      </c>
      <c r="G35" s="70"/>
      <c r="H35" s="71"/>
      <c r="I35" s="72">
        <f>IF(F35=RP-1,1,ROUND($L$7/K35,4))</f>
        <v>1.3682000000000001</v>
      </c>
      <c r="J35" s="73">
        <f t="shared" si="3"/>
        <v>0</v>
      </c>
      <c r="K35" s="74">
        <v>25903</v>
      </c>
      <c r="L35" s="89">
        <v>1.0273000000000001</v>
      </c>
      <c r="M35" s="114">
        <f t="shared" ref="M35:M48" si="7">CEILING($T35*0.44,1)</f>
        <v>11389</v>
      </c>
      <c r="N35" s="114">
        <f>CEILING($T35*1.16,1)</f>
        <v>30026</v>
      </c>
      <c r="O35" s="115">
        <f>CEILING($T35*4,1)</f>
        <v>103536</v>
      </c>
      <c r="P35" s="116">
        <v>0.27</v>
      </c>
      <c r="Q35" s="116">
        <v>0.19</v>
      </c>
      <c r="R35" s="137">
        <v>0.06</v>
      </c>
      <c r="S35" s="115">
        <f t="shared" si="6"/>
        <v>2330</v>
      </c>
      <c r="T35" s="117">
        <f t="shared" si="5"/>
        <v>25884</v>
      </c>
      <c r="U35" s="117">
        <f t="shared" si="4"/>
        <v>1242432</v>
      </c>
      <c r="V35" s="44">
        <v>4</v>
      </c>
      <c r="W35" s="5"/>
      <c r="X35" s="5"/>
    </row>
    <row r="36" spans="1:24" ht="15" x14ac:dyDescent="0.25">
      <c r="A36" s="138"/>
      <c r="B36" s="139" t="s">
        <v>77</v>
      </c>
      <c r="C36" s="139"/>
      <c r="D36" s="140">
        <f ca="1">MAX(770,CEILING(C33*D21,1)+CEILING(C33*D22,1)-FLOOR(-C33*D23,1))</f>
        <v>770</v>
      </c>
      <c r="E36" s="20"/>
      <c r="F36" s="69">
        <f t="shared" si="1"/>
        <v>2014</v>
      </c>
      <c r="G36" s="70"/>
      <c r="H36" s="71"/>
      <c r="I36" s="72">
        <f t="shared" ref="I36:I42" si="8">IF(F36=RP-1,1,ROUND($L$7/K36,4))</f>
        <v>1.3446</v>
      </c>
      <c r="J36" s="73">
        <f t="shared" si="3"/>
        <v>0</v>
      </c>
      <c r="K36" s="74">
        <v>26357</v>
      </c>
      <c r="L36" s="89">
        <v>1.0246</v>
      </c>
      <c r="M36" s="114">
        <f t="shared" si="7"/>
        <v>11415</v>
      </c>
      <c r="N36" s="114">
        <f>CEILING($T36*1.16,1)</f>
        <v>30093</v>
      </c>
      <c r="O36" s="115">
        <f>CEILING($T36*4,1)</f>
        <v>103768</v>
      </c>
      <c r="P36" s="116">
        <v>0.26</v>
      </c>
      <c r="Q36" s="116">
        <v>0.22</v>
      </c>
      <c r="R36" s="137">
        <v>0.03</v>
      </c>
      <c r="S36" s="115">
        <f t="shared" si="6"/>
        <v>2340</v>
      </c>
      <c r="T36" s="117">
        <f t="shared" si="5"/>
        <v>25942</v>
      </c>
      <c r="U36" s="117">
        <f t="shared" si="4"/>
        <v>1245216</v>
      </c>
      <c r="V36" s="44">
        <v>4</v>
      </c>
      <c r="W36" s="5"/>
      <c r="X36" s="5"/>
    </row>
    <row r="37" spans="1:24" ht="15.75" thickBot="1" x14ac:dyDescent="0.3">
      <c r="A37" s="143"/>
      <c r="B37" s="144" t="s">
        <v>78</v>
      </c>
      <c r="C37" s="144"/>
      <c r="D37" s="145">
        <f ca="1">D36+D35</f>
        <v>4320</v>
      </c>
      <c r="E37" s="20"/>
      <c r="F37" s="78">
        <f t="shared" si="1"/>
        <v>2015</v>
      </c>
      <c r="G37" s="79"/>
      <c r="H37" s="80"/>
      <c r="I37" s="81">
        <f t="shared" si="8"/>
        <v>1.3050999999999999</v>
      </c>
      <c r="J37" s="82">
        <f t="shared" si="3"/>
        <v>0</v>
      </c>
      <c r="K37" s="114">
        <v>27156</v>
      </c>
      <c r="L37" s="160">
        <v>1.0396000000000001</v>
      </c>
      <c r="M37" s="120">
        <f t="shared" si="7"/>
        <v>11709</v>
      </c>
      <c r="N37" s="120">
        <f t="shared" ref="N37:N48" si="9">CEILING($T37*4,1)</f>
        <v>106444</v>
      </c>
      <c r="O37" s="121"/>
      <c r="P37" s="122">
        <v>0.26</v>
      </c>
      <c r="Q37" s="122">
        <v>0</v>
      </c>
      <c r="R37" s="146">
        <v>0</v>
      </c>
      <c r="S37" s="121">
        <f t="shared" si="6"/>
        <v>2400</v>
      </c>
      <c r="T37" s="123">
        <f t="shared" si="5"/>
        <v>26611</v>
      </c>
      <c r="U37" s="123">
        <f t="shared" si="4"/>
        <v>1277328</v>
      </c>
      <c r="V37" s="124">
        <v>4</v>
      </c>
      <c r="W37" s="5"/>
      <c r="X37" s="5"/>
    </row>
    <row r="38" spans="1:24" ht="15" x14ac:dyDescent="0.25">
      <c r="A38" s="171" t="str">
        <f ca="1">OFFSET(W3,W3,0)</f>
        <v>POZOR ! Není vyplněna doba pojištění ke dni vzniku nároku na důchod!</v>
      </c>
      <c r="B38" s="171"/>
      <c r="C38" s="171"/>
      <c r="D38" s="171"/>
      <c r="E38" s="20"/>
      <c r="F38" s="69">
        <f t="shared" si="1"/>
        <v>2016</v>
      </c>
      <c r="G38" s="70"/>
      <c r="H38" s="71"/>
      <c r="I38" s="72">
        <f t="shared" si="8"/>
        <v>1.2544999999999999</v>
      </c>
      <c r="J38" s="73">
        <f t="shared" si="3"/>
        <v>0</v>
      </c>
      <c r="K38" s="127">
        <v>28250</v>
      </c>
      <c r="L38" s="128">
        <v>1.0611999999999999</v>
      </c>
      <c r="M38" s="127">
        <f t="shared" si="7"/>
        <v>11883</v>
      </c>
      <c r="N38" s="127">
        <f t="shared" si="9"/>
        <v>108024</v>
      </c>
      <c r="O38" s="129"/>
      <c r="P38" s="130">
        <v>0.26</v>
      </c>
      <c r="Q38" s="130"/>
      <c r="R38" s="129"/>
      <c r="S38" s="129">
        <f t="shared" si="6"/>
        <v>2440</v>
      </c>
      <c r="T38" s="132">
        <f t="shared" ref="T38:T44" si="10">MAX(CEILING(K36*L36,1),T37)</f>
        <v>27006</v>
      </c>
      <c r="U38" s="132">
        <f t="shared" si="4"/>
        <v>1296288</v>
      </c>
      <c r="V38" s="30">
        <v>4</v>
      </c>
      <c r="W38" s="5"/>
      <c r="X38" s="5"/>
    </row>
    <row r="39" spans="1:24" ht="15" x14ac:dyDescent="0.25">
      <c r="A39" s="172"/>
      <c r="B39" s="172"/>
      <c r="C39" s="172"/>
      <c r="D39" s="172"/>
      <c r="E39" s="20"/>
      <c r="F39" s="69">
        <f t="shared" si="1"/>
        <v>2017</v>
      </c>
      <c r="G39" s="70"/>
      <c r="H39" s="71"/>
      <c r="I39" s="72">
        <f t="shared" si="8"/>
        <v>1.1752</v>
      </c>
      <c r="J39" s="73">
        <f t="shared" si="3"/>
        <v>0</v>
      </c>
      <c r="K39" s="114">
        <v>30156</v>
      </c>
      <c r="L39" s="160">
        <v>1.0843</v>
      </c>
      <c r="M39" s="114">
        <f t="shared" si="7"/>
        <v>12423</v>
      </c>
      <c r="N39" s="114">
        <f t="shared" si="9"/>
        <v>112928</v>
      </c>
      <c r="O39" s="115"/>
      <c r="P39" s="116">
        <v>0.26</v>
      </c>
      <c r="Q39" s="116"/>
      <c r="R39" s="115"/>
      <c r="S39" s="115">
        <f t="shared" si="6"/>
        <v>2550</v>
      </c>
      <c r="T39" s="117">
        <f t="shared" si="10"/>
        <v>28232</v>
      </c>
      <c r="U39" s="117">
        <f t="shared" si="4"/>
        <v>1355136</v>
      </c>
      <c r="V39" s="44">
        <v>4</v>
      </c>
      <c r="W39" s="5"/>
      <c r="X39" s="5"/>
    </row>
    <row r="40" spans="1:24" ht="14.25" customHeight="1" x14ac:dyDescent="0.25">
      <c r="A40" s="157" t="str">
        <f>IF(RP=2008,W16,IF(RP&lt;2004,"* Výpočet funguje k počátku roku, pak byly v tomto roce změny"," "))</f>
        <v xml:space="preserve"> </v>
      </c>
      <c r="E40" s="20"/>
      <c r="F40" s="69">
        <f t="shared" si="1"/>
        <v>2018</v>
      </c>
      <c r="G40" s="70"/>
      <c r="H40" s="71"/>
      <c r="I40" s="72">
        <f t="shared" si="8"/>
        <v>1.0901000000000001</v>
      </c>
      <c r="J40" s="73">
        <f t="shared" si="3"/>
        <v>0</v>
      </c>
      <c r="K40" s="114">
        <v>32510</v>
      </c>
      <c r="L40" s="160">
        <v>1.0714999999999999</v>
      </c>
      <c r="M40" s="114">
        <f t="shared" si="7"/>
        <v>13191</v>
      </c>
      <c r="N40" s="114">
        <f t="shared" si="9"/>
        <v>119916</v>
      </c>
      <c r="O40" s="115"/>
      <c r="P40" s="116">
        <v>0.26</v>
      </c>
      <c r="Q40" s="116"/>
      <c r="R40" s="115"/>
      <c r="S40" s="115">
        <f t="shared" si="6"/>
        <v>2700</v>
      </c>
      <c r="T40" s="117">
        <f t="shared" si="10"/>
        <v>29979</v>
      </c>
      <c r="U40" s="117">
        <f t="shared" si="4"/>
        <v>1438992</v>
      </c>
      <c r="V40" s="44">
        <v>4</v>
      </c>
      <c r="W40" s="5"/>
      <c r="X40" s="5"/>
    </row>
    <row r="41" spans="1:24" ht="15" x14ac:dyDescent="0.25">
      <c r="A41" s="166" t="str">
        <f>IF(RP&lt;2002,W18,"")</f>
        <v/>
      </c>
      <c r="B41" s="166"/>
      <c r="C41" s="166"/>
      <c r="D41" s="166"/>
      <c r="E41" s="20"/>
      <c r="F41" s="69">
        <f t="shared" si="1"/>
        <v>2019</v>
      </c>
      <c r="G41" s="70"/>
      <c r="H41" s="71"/>
      <c r="I41" s="72">
        <f t="shared" si="8"/>
        <v>1.0194000000000001</v>
      </c>
      <c r="J41" s="73">
        <f t="shared" si="3"/>
        <v>0</v>
      </c>
      <c r="K41" s="114">
        <v>34766</v>
      </c>
      <c r="L41" s="160">
        <v>1.0194000000000001</v>
      </c>
      <c r="M41" s="114">
        <f t="shared" si="7"/>
        <v>14388</v>
      </c>
      <c r="N41" s="114">
        <f t="shared" si="9"/>
        <v>130796</v>
      </c>
      <c r="O41" s="115"/>
      <c r="P41" s="116">
        <v>0.26</v>
      </c>
      <c r="Q41" s="116"/>
      <c r="R41" s="115"/>
      <c r="S41" s="115">
        <f>CEILING($T41*0.1,10)</f>
        <v>3270</v>
      </c>
      <c r="T41" s="117">
        <f t="shared" si="10"/>
        <v>32699</v>
      </c>
      <c r="U41" s="117">
        <f t="shared" si="4"/>
        <v>1569552</v>
      </c>
      <c r="V41" s="44">
        <v>4</v>
      </c>
      <c r="W41" s="5"/>
      <c r="X41" s="5"/>
    </row>
    <row r="42" spans="1:24" ht="15" customHeight="1" thickBot="1" x14ac:dyDescent="0.3">
      <c r="A42" s="166"/>
      <c r="B42" s="166"/>
      <c r="C42" s="166"/>
      <c r="D42" s="166"/>
      <c r="E42" s="20"/>
      <c r="F42" s="78">
        <f t="shared" si="1"/>
        <v>2020</v>
      </c>
      <c r="G42" s="79"/>
      <c r="H42" s="80"/>
      <c r="I42" s="81">
        <f t="shared" si="8"/>
        <v>1</v>
      </c>
      <c r="J42" s="82">
        <f t="shared" si="3"/>
        <v>0</v>
      </c>
      <c r="K42" s="158">
        <f t="shared" ref="K42:K48" si="11">MAX(K41,ROUND(K41*(1+VLOOKUP($F42,odhad,2)/100),0))</f>
        <v>35287</v>
      </c>
      <c r="L42" s="159">
        <f t="shared" ref="L42:L48" si="12">MAX(1,ROUND(1+VLOOKUP($F42+1,odhad,2)/100,4))</f>
        <v>1.02</v>
      </c>
      <c r="M42" s="120">
        <f t="shared" si="7"/>
        <v>15328</v>
      </c>
      <c r="N42" s="120">
        <f t="shared" si="9"/>
        <v>139340</v>
      </c>
      <c r="O42" s="121"/>
      <c r="P42" s="122">
        <v>0.26</v>
      </c>
      <c r="Q42" s="122"/>
      <c r="R42" s="121"/>
      <c r="S42" s="121">
        <f t="shared" ref="S42:S48" si="13">CEILING($T42*0.1,10)</f>
        <v>3490</v>
      </c>
      <c r="T42" s="123">
        <f t="shared" si="10"/>
        <v>34835</v>
      </c>
      <c r="U42" s="123">
        <f t="shared" si="4"/>
        <v>1672080</v>
      </c>
      <c r="V42" s="124">
        <v>4</v>
      </c>
      <c r="W42" s="5"/>
      <c r="X42" s="5"/>
    </row>
    <row r="43" spans="1:24" ht="15" x14ac:dyDescent="0.25">
      <c r="A43" s="166" t="str">
        <f ca="1">IF(RP&lt;2002,OFFSET($W$9,RP-1995,0),"")</f>
        <v/>
      </c>
      <c r="B43" s="166"/>
      <c r="C43" s="166"/>
      <c r="D43" s="166"/>
      <c r="E43" s="20"/>
      <c r="F43" s="69">
        <f t="shared" si="1"/>
        <v>2021</v>
      </c>
      <c r="G43" s="70"/>
      <c r="H43" s="71"/>
      <c r="I43" s="72">
        <f t="shared" ref="I43:I48" si="14">IF(F43=RP-1,1,ROUND($L$7/K43,4))</f>
        <v>0.98460000000000003</v>
      </c>
      <c r="J43" s="73">
        <f t="shared" ref="J43:J48" si="15">IF(G43&gt;0,CEILING(MIN($G43,U43)*I43,1),0)</f>
        <v>0</v>
      </c>
      <c r="K43" s="141">
        <f t="shared" si="11"/>
        <v>35993</v>
      </c>
      <c r="L43" s="142">
        <f t="shared" si="12"/>
        <v>1.02</v>
      </c>
      <c r="M43" s="114">
        <f t="shared" si="7"/>
        <v>15595</v>
      </c>
      <c r="N43" s="114">
        <f t="shared" si="9"/>
        <v>141764</v>
      </c>
      <c r="O43" s="115"/>
      <c r="P43" s="116">
        <v>0.26</v>
      </c>
      <c r="Q43" s="116"/>
      <c r="R43" s="115"/>
      <c r="S43" s="115">
        <f t="shared" si="13"/>
        <v>3550</v>
      </c>
      <c r="T43" s="117">
        <f t="shared" si="10"/>
        <v>35441</v>
      </c>
      <c r="U43" s="117">
        <f t="shared" si="4"/>
        <v>1701168</v>
      </c>
      <c r="V43" s="44">
        <v>4</v>
      </c>
      <c r="W43" s="5"/>
      <c r="X43" s="5"/>
    </row>
    <row r="44" spans="1:24" ht="15" x14ac:dyDescent="0.25">
      <c r="A44" s="166"/>
      <c r="B44" s="166"/>
      <c r="C44" s="166"/>
      <c r="D44" s="166"/>
      <c r="E44" s="20"/>
      <c r="F44" s="69">
        <f t="shared" si="1"/>
        <v>2022</v>
      </c>
      <c r="G44" s="70"/>
      <c r="H44" s="71"/>
      <c r="I44" s="72">
        <f t="shared" si="14"/>
        <v>0.96530000000000005</v>
      </c>
      <c r="J44" s="73">
        <f t="shared" si="15"/>
        <v>0</v>
      </c>
      <c r="K44" s="141">
        <f t="shared" si="11"/>
        <v>36713</v>
      </c>
      <c r="L44" s="142">
        <f t="shared" si="12"/>
        <v>1.02</v>
      </c>
      <c r="M44" s="114">
        <f t="shared" si="7"/>
        <v>15837</v>
      </c>
      <c r="N44" s="115">
        <f t="shared" si="9"/>
        <v>143972</v>
      </c>
      <c r="O44" s="116"/>
      <c r="P44" s="116">
        <v>0.26</v>
      </c>
      <c r="Q44" s="115"/>
      <c r="R44" s="115"/>
      <c r="S44" s="117">
        <f t="shared" si="13"/>
        <v>3600</v>
      </c>
      <c r="T44" s="117">
        <f t="shared" si="10"/>
        <v>35993</v>
      </c>
      <c r="U44" s="117">
        <f t="shared" si="4"/>
        <v>1727664</v>
      </c>
      <c r="V44" s="44">
        <v>4</v>
      </c>
      <c r="W44" s="5"/>
      <c r="X44" s="5"/>
    </row>
    <row r="45" spans="1:24" ht="15" customHeight="1" x14ac:dyDescent="0.25">
      <c r="A45" s="166" t="str">
        <f>IF(RP&gt;maxB,$W$19,"")</f>
        <v/>
      </c>
      <c r="B45" s="177"/>
      <c r="C45" s="177"/>
      <c r="D45" s="177"/>
      <c r="E45" s="20"/>
      <c r="F45" s="69">
        <f t="shared" si="1"/>
        <v>2023</v>
      </c>
      <c r="G45" s="70"/>
      <c r="H45" s="71"/>
      <c r="I45" s="72">
        <f t="shared" si="14"/>
        <v>0.94640000000000002</v>
      </c>
      <c r="J45" s="73">
        <f t="shared" si="15"/>
        <v>0</v>
      </c>
      <c r="K45" s="141">
        <f t="shared" si="11"/>
        <v>37447</v>
      </c>
      <c r="L45" s="142">
        <f t="shared" si="12"/>
        <v>1.01</v>
      </c>
      <c r="M45" s="114">
        <f t="shared" si="7"/>
        <v>16154</v>
      </c>
      <c r="N45" s="115">
        <f t="shared" si="9"/>
        <v>146852</v>
      </c>
      <c r="O45" s="116"/>
      <c r="P45" s="116">
        <v>0.26</v>
      </c>
      <c r="Q45" s="115"/>
      <c r="R45" s="115"/>
      <c r="S45" s="117">
        <f t="shared" si="13"/>
        <v>3680</v>
      </c>
      <c r="T45" s="117">
        <f t="shared" ref="T45" si="16">MAX(CEILING(K43*L43,1),T44)</f>
        <v>36713</v>
      </c>
      <c r="U45" s="117">
        <f t="shared" ref="U45" si="17">T45*V45*12</f>
        <v>1762224</v>
      </c>
      <c r="V45" s="44">
        <v>4</v>
      </c>
      <c r="W45" s="5"/>
      <c r="X45" s="5"/>
    </row>
    <row r="46" spans="1:24" ht="15.75" customHeight="1" x14ac:dyDescent="0.25">
      <c r="A46" s="177"/>
      <c r="B46" s="177"/>
      <c r="C46" s="177"/>
      <c r="D46" s="177"/>
      <c r="E46" s="20"/>
      <c r="F46" s="69">
        <f t="shared" si="1"/>
        <v>2024</v>
      </c>
      <c r="G46" s="70"/>
      <c r="H46" s="71"/>
      <c r="I46" s="72">
        <f t="shared" si="14"/>
        <v>0.93710000000000004</v>
      </c>
      <c r="J46" s="73">
        <f t="shared" si="15"/>
        <v>0</v>
      </c>
      <c r="K46" s="141">
        <f t="shared" si="11"/>
        <v>37821</v>
      </c>
      <c r="L46" s="142">
        <f t="shared" si="12"/>
        <v>1.01</v>
      </c>
      <c r="M46" s="114">
        <f t="shared" si="7"/>
        <v>16478</v>
      </c>
      <c r="N46" s="115">
        <f t="shared" si="9"/>
        <v>149792</v>
      </c>
      <c r="O46" s="116"/>
      <c r="P46" s="116">
        <v>0.26</v>
      </c>
      <c r="Q46" s="115"/>
      <c r="R46" s="115"/>
      <c r="S46" s="117">
        <f t="shared" si="13"/>
        <v>3750</v>
      </c>
      <c r="T46" s="117">
        <f t="shared" ref="T46" si="18">MAX(CEILING(K44*L44,1),T45)</f>
        <v>37448</v>
      </c>
      <c r="U46" s="117">
        <f t="shared" ref="U46" si="19">T46*V46*12</f>
        <v>1797504</v>
      </c>
      <c r="V46" s="44">
        <v>4</v>
      </c>
      <c r="W46" s="5"/>
      <c r="X46" s="5"/>
    </row>
    <row r="47" spans="1:24" ht="15.75" customHeight="1" thickBot="1" x14ac:dyDescent="0.3">
      <c r="A47" s="177"/>
      <c r="B47" s="177"/>
      <c r="C47" s="177"/>
      <c r="D47" s="177"/>
      <c r="E47" s="20"/>
      <c r="F47" s="78">
        <f t="shared" si="1"/>
        <v>2025</v>
      </c>
      <c r="G47" s="79"/>
      <c r="H47" s="80"/>
      <c r="I47" s="81">
        <f t="shared" si="14"/>
        <v>0.92779999999999996</v>
      </c>
      <c r="J47" s="82">
        <f t="shared" si="15"/>
        <v>0</v>
      </c>
      <c r="K47" s="158">
        <f t="shared" si="11"/>
        <v>38199</v>
      </c>
      <c r="L47" s="159">
        <f t="shared" si="12"/>
        <v>1</v>
      </c>
      <c r="M47" s="120">
        <f t="shared" si="7"/>
        <v>16642</v>
      </c>
      <c r="N47" s="121">
        <f t="shared" si="9"/>
        <v>151288</v>
      </c>
      <c r="O47" s="122"/>
      <c r="P47" s="122">
        <v>0.26</v>
      </c>
      <c r="Q47" s="121"/>
      <c r="R47" s="121"/>
      <c r="S47" s="123">
        <f t="shared" si="13"/>
        <v>3790</v>
      </c>
      <c r="T47" s="123">
        <f t="shared" ref="T47:T48" si="20">MAX(CEILING(K45*L45,1),T46)</f>
        <v>37822</v>
      </c>
      <c r="U47" s="123">
        <f t="shared" ref="U47:U48" si="21">T47*V47*12</f>
        <v>1815456</v>
      </c>
      <c r="V47" s="124">
        <v>4</v>
      </c>
      <c r="W47" s="5"/>
      <c r="X47" s="5"/>
    </row>
    <row r="48" spans="1:24" ht="15" x14ac:dyDescent="0.25">
      <c r="A48" s="177"/>
      <c r="B48" s="177"/>
      <c r="C48" s="177"/>
      <c r="D48" s="177"/>
      <c r="E48" s="20"/>
      <c r="F48" s="69">
        <f t="shared" si="1"/>
        <v>2026</v>
      </c>
      <c r="G48" s="70"/>
      <c r="H48" s="71"/>
      <c r="I48" s="72">
        <f t="shared" si="14"/>
        <v>0.92779999999999996</v>
      </c>
      <c r="J48" s="73">
        <f t="shared" si="15"/>
        <v>0</v>
      </c>
      <c r="K48" s="141">
        <f t="shared" si="11"/>
        <v>38199</v>
      </c>
      <c r="L48" s="142">
        <f t="shared" si="12"/>
        <v>1</v>
      </c>
      <c r="M48" s="114">
        <f t="shared" si="7"/>
        <v>16808</v>
      </c>
      <c r="N48" s="115">
        <f t="shared" si="9"/>
        <v>152800</v>
      </c>
      <c r="O48" s="116"/>
      <c r="P48" s="116">
        <v>0.26</v>
      </c>
      <c r="Q48" s="115"/>
      <c r="R48" s="115"/>
      <c r="S48" s="117">
        <f t="shared" si="13"/>
        <v>3820</v>
      </c>
      <c r="T48" s="117">
        <f t="shared" si="20"/>
        <v>38200</v>
      </c>
      <c r="U48" s="117">
        <f t="shared" si="21"/>
        <v>1833600</v>
      </c>
      <c r="V48" s="44">
        <v>4</v>
      </c>
      <c r="W48" s="5"/>
      <c r="X48" s="5"/>
    </row>
    <row r="49" spans="1:24" ht="15" x14ac:dyDescent="0.25">
      <c r="A49" s="177"/>
      <c r="B49" s="177"/>
      <c r="C49" s="177"/>
      <c r="D49" s="177"/>
      <c r="E49" s="20"/>
      <c r="F49" s="69"/>
      <c r="G49" s="70"/>
      <c r="H49" s="71"/>
      <c r="I49" s="72"/>
      <c r="J49" s="73"/>
      <c r="K49" s="141"/>
      <c r="L49" s="142"/>
      <c r="M49" s="114">
        <f>VLOOKUP(RP,MTC,8)</f>
        <v>15595</v>
      </c>
      <c r="N49" s="115">
        <f>VLOOKUP(RP,MTC,9)</f>
        <v>141764</v>
      </c>
      <c r="O49" s="116"/>
      <c r="P49" s="116">
        <f>VLOOKUP(RP,MTC,11)</f>
        <v>0.26</v>
      </c>
      <c r="Q49" s="115">
        <f>VLOOKUP(RP,MTC,12)</f>
        <v>0</v>
      </c>
      <c r="R49" s="115">
        <f>VLOOKUP(RP,MTC,13)</f>
        <v>0</v>
      </c>
      <c r="S49" s="117">
        <f ca="1">IF(ovz&lt;=M49,ovz,M49+(MIN(ovz,N49)-M49)*P49)</f>
        <v>0</v>
      </c>
      <c r="T49" s="117">
        <f ca="1">IF(OR(ovz&lt;=N49,RP&gt;2014),0,IF(US=0,(ovz-N49)*Q49,(MIN(ovz,O49)-N49)*Q49+IF(ovz&gt;O49,(ovz-O49)*R49,0)))</f>
        <v>0</v>
      </c>
      <c r="U49" s="117"/>
      <c r="V49" s="44"/>
      <c r="W49" s="5"/>
      <c r="X49" s="5"/>
    </row>
    <row r="50" spans="1:24" ht="15" customHeight="1" x14ac:dyDescent="0.25">
      <c r="A50" s="166" t="str">
        <f>IF(M53&gt;0,M51&amp;M52,"")</f>
        <v/>
      </c>
      <c r="B50" s="166"/>
      <c r="C50" s="166"/>
      <c r="D50" s="166"/>
      <c r="E50" s="20"/>
      <c r="F50" s="173" t="s">
        <v>79</v>
      </c>
      <c r="G50" s="174"/>
      <c r="H50" s="167" t="str">
        <f>"Parametry výpočtu výše důchodu se podle zákona stanoví na základě statistických údajů o výši průměrné mzdy. Pro důchody přiznané po roce "&amp;maxB&amp;" se proto při výpočtu  musí vycházet z odhadovaného růstu průměrné mzdy. Vámi odhadovaný růst průměrné mzdy vložte prosím do zelených buněk vlevo."</f>
        <v>Parametry výpočtu výše důchodu se podle zákona stanoví na základě statistických údajů o výši průměrné mzdy. Pro důchody přiznané po roce 2021 se proto při výpočtu  musí vycházet z odhadovaného růstu průměrné mzdy. Vámi odhadovaný růst průměrné mzdy vložte prosím do zelených buněk vlevo.</v>
      </c>
      <c r="I50" s="168"/>
      <c r="J50" s="168"/>
      <c r="K50" s="168"/>
      <c r="L50" s="168"/>
      <c r="O50" s="2"/>
      <c r="P50" s="2"/>
      <c r="Q50" s="2"/>
      <c r="R50" s="2"/>
      <c r="S50" s="2"/>
      <c r="T50" s="2"/>
      <c r="U50" s="5"/>
      <c r="V50" s="102"/>
      <c r="W50" s="5"/>
      <c r="X50" s="5"/>
    </row>
    <row r="51" spans="1:24" ht="15" x14ac:dyDescent="0.25">
      <c r="A51" s="166"/>
      <c r="B51" s="166"/>
      <c r="C51" s="166"/>
      <c r="D51" s="166"/>
      <c r="E51" s="20"/>
      <c r="F51" s="173" t="s">
        <v>83</v>
      </c>
      <c r="G51" s="174"/>
      <c r="H51" s="169"/>
      <c r="I51" s="170"/>
      <c r="J51" s="170"/>
      <c r="K51" s="170"/>
      <c r="L51" s="170"/>
      <c r="M51" s="2" t="s">
        <v>80</v>
      </c>
      <c r="N51" s="2"/>
      <c r="O51" s="2"/>
      <c r="P51" s="2"/>
      <c r="Q51" s="2"/>
      <c r="R51" s="2"/>
      <c r="S51" s="2"/>
      <c r="T51" s="2"/>
      <c r="U51" s="5"/>
      <c r="V51" s="102"/>
      <c r="W51" s="5"/>
      <c r="X51" s="5"/>
    </row>
    <row r="52" spans="1:24" ht="15.75" thickBot="1" x14ac:dyDescent="0.3">
      <c r="A52" s="166"/>
      <c r="B52" s="166"/>
      <c r="C52" s="166"/>
      <c r="D52" s="166"/>
      <c r="E52" s="20"/>
      <c r="F52" s="175"/>
      <c r="G52" s="176"/>
      <c r="H52" s="169"/>
      <c r="I52" s="170"/>
      <c r="J52" s="170"/>
      <c r="K52" s="170"/>
      <c r="L52" s="170"/>
      <c r="M52" s="2" t="str">
        <f>O60&amp;O59&amp;O58&amp;O57&amp;O56&amp;O55&amp;O54</f>
        <v xml:space="preserve">       </v>
      </c>
      <c r="N52" s="2"/>
      <c r="O52" s="2"/>
      <c r="P52" s="2"/>
      <c r="Q52" s="2"/>
      <c r="R52" s="2"/>
      <c r="S52" s="2"/>
      <c r="T52" s="5"/>
      <c r="U52" s="102"/>
      <c r="V52" s="5"/>
      <c r="W52" s="5"/>
      <c r="X52" s="5"/>
    </row>
    <row r="53" spans="1:24" ht="15.75" thickBot="1" x14ac:dyDescent="0.3">
      <c r="A53" s="166" t="str">
        <f>IF(RP=2001,"Po 30.6.2001 bylo snížení u předčasného důchodu 0,9% a 1,3%","")</f>
        <v/>
      </c>
      <c r="B53" s="166"/>
      <c r="C53" s="166"/>
      <c r="D53" s="166"/>
      <c r="E53" s="20"/>
      <c r="F53" s="147" t="s">
        <v>81</v>
      </c>
      <c r="G53" s="148" t="s">
        <v>82</v>
      </c>
      <c r="H53" s="169"/>
      <c r="I53" s="170"/>
      <c r="J53" s="170"/>
      <c r="K53" s="170"/>
      <c r="L53" s="170"/>
      <c r="M53" s="2">
        <f>SUM(M54:M61)</f>
        <v>0</v>
      </c>
      <c r="N53" s="12">
        <f>COUNTIF(N54:N61,"&gt;0")</f>
        <v>0</v>
      </c>
      <c r="O53" s="2"/>
      <c r="P53" s="2" t="s">
        <v>91</v>
      </c>
      <c r="Q53" s="2"/>
      <c r="R53" s="2"/>
      <c r="S53" s="2"/>
      <c r="T53" s="5"/>
      <c r="U53" s="102"/>
      <c r="V53" s="5"/>
      <c r="W53" s="5"/>
      <c r="X53" s="5"/>
    </row>
    <row r="54" spans="1:24" ht="15" x14ac:dyDescent="0.25">
      <c r="A54" s="166"/>
      <c r="B54" s="166"/>
      <c r="C54" s="166"/>
      <c r="D54" s="166"/>
      <c r="E54" s="20"/>
      <c r="F54" s="149">
        <f>maxB-1</f>
        <v>2020</v>
      </c>
      <c r="G54" s="150">
        <v>1.5</v>
      </c>
      <c r="H54" s="169"/>
      <c r="I54" s="170"/>
      <c r="J54" s="170"/>
      <c r="K54" s="170"/>
      <c r="L54" s="170"/>
      <c r="M54" s="12">
        <f>F54*(F54&lt;RP)*(RP&gt;maxB)*OR(G54&lt;Q54,G54&gt;Q55)</f>
        <v>0</v>
      </c>
      <c r="N54" s="12">
        <f>LARGE($M$54:$M$60,1)</f>
        <v>0</v>
      </c>
      <c r="O54" s="2" t="str">
        <f>IF(N54=0," ",N54&amp;"=??  ")</f>
        <v xml:space="preserve"> </v>
      </c>
      <c r="P54" s="2" t="s">
        <v>92</v>
      </c>
      <c r="Q54" s="150">
        <v>0.1</v>
      </c>
      <c r="R54" s="2"/>
      <c r="S54" s="2"/>
      <c r="T54" s="5"/>
      <c r="U54" s="102"/>
      <c r="V54" s="5"/>
      <c r="W54" s="5"/>
      <c r="X54" s="5"/>
    </row>
    <row r="55" spans="1:24" ht="15" x14ac:dyDescent="0.25">
      <c r="A55" s="166" t="str">
        <f>IF(RP=1996,W9," ")</f>
        <v xml:space="preserve"> </v>
      </c>
      <c r="B55" s="166"/>
      <c r="C55" s="166"/>
      <c r="D55" s="166"/>
      <c r="E55" s="20"/>
      <c r="F55" s="149">
        <f t="shared" ref="F55:F60" si="22">F54+1</f>
        <v>2021</v>
      </c>
      <c r="G55" s="150">
        <v>2</v>
      </c>
      <c r="H55" s="151"/>
      <c r="I55" s="152"/>
      <c r="J55" s="152"/>
      <c r="K55" s="152"/>
      <c r="L55" s="152"/>
      <c r="M55" s="12">
        <f>F55*(F55&lt;RP)*(RP&gt;maxB)*OR(G55&lt;Q54,G55&gt;Q55)</f>
        <v>0</v>
      </c>
      <c r="N55" s="12">
        <f>LARGE($M$54:$M$60,2)</f>
        <v>0</v>
      </c>
      <c r="O55" s="2" t="str">
        <f t="shared" ref="O55:O60" si="23">IF(N55=0," ",N55&amp;"=??  ")</f>
        <v xml:space="preserve"> </v>
      </c>
      <c r="P55" s="2" t="s">
        <v>93</v>
      </c>
      <c r="Q55" s="150">
        <v>9</v>
      </c>
      <c r="R55" s="2"/>
      <c r="S55" s="2"/>
      <c r="T55" s="5"/>
      <c r="U55" s="102"/>
      <c r="V55" s="5"/>
      <c r="W55" s="5"/>
      <c r="X55" s="5"/>
    </row>
    <row r="56" spans="1:24" ht="15" x14ac:dyDescent="0.25">
      <c r="A56" s="166"/>
      <c r="B56" s="166"/>
      <c r="C56" s="166"/>
      <c r="D56" s="166"/>
      <c r="F56" s="149">
        <f t="shared" si="22"/>
        <v>2022</v>
      </c>
      <c r="G56" s="150">
        <v>2</v>
      </c>
      <c r="H56" s="151"/>
      <c r="I56" s="152"/>
      <c r="J56" s="152"/>
      <c r="K56" s="152"/>
      <c r="L56" s="152"/>
      <c r="M56" s="12">
        <f>F56*(F56&lt;RP)*(RP&gt;maxB)*OR(G56&lt;Q54,G56&gt;Q55)</f>
        <v>0</v>
      </c>
      <c r="N56" s="12">
        <f>LARGE($M$54:$M$60,3)</f>
        <v>0</v>
      </c>
      <c r="O56" s="2" t="str">
        <f t="shared" si="23"/>
        <v xml:space="preserve"> </v>
      </c>
      <c r="P56" s="2"/>
      <c r="Q56" s="2"/>
      <c r="R56" s="2"/>
      <c r="S56" s="2"/>
      <c r="T56" s="5"/>
      <c r="U56" s="5"/>
      <c r="V56" s="5"/>
      <c r="W56" s="5"/>
      <c r="X56" s="5"/>
    </row>
    <row r="57" spans="1:24" ht="15.75" customHeight="1" x14ac:dyDescent="0.25">
      <c r="F57" s="149">
        <f t="shared" si="22"/>
        <v>2023</v>
      </c>
      <c r="G57" s="150">
        <v>2</v>
      </c>
      <c r="H57" s="151"/>
      <c r="I57" s="152"/>
      <c r="J57" s="152"/>
      <c r="K57" s="152"/>
      <c r="L57" s="152"/>
      <c r="M57" s="12">
        <f>F57*(F57&lt;RP)*(RP&gt;maxB)*OR(G57&lt;Q54,G57&gt;Q55)</f>
        <v>0</v>
      </c>
      <c r="N57" s="12">
        <f>LARGE($M$54:$M$60,4)</f>
        <v>0</v>
      </c>
      <c r="O57" s="2" t="str">
        <f t="shared" si="23"/>
        <v xml:space="preserve"> </v>
      </c>
      <c r="P57" s="2"/>
      <c r="Q57" s="2"/>
      <c r="R57" s="2"/>
      <c r="S57" s="2"/>
      <c r="T57" s="5"/>
      <c r="U57" s="5"/>
      <c r="V57" s="5"/>
      <c r="W57" s="5"/>
      <c r="X57" s="5"/>
    </row>
    <row r="58" spans="1:24" ht="15" x14ac:dyDescent="0.25">
      <c r="F58" s="149">
        <f t="shared" si="22"/>
        <v>2024</v>
      </c>
      <c r="G58" s="150">
        <v>1</v>
      </c>
      <c r="H58" s="151"/>
      <c r="I58" s="152"/>
      <c r="J58" s="152"/>
      <c r="K58" s="152"/>
      <c r="L58" s="152"/>
      <c r="M58" s="12">
        <f>F58*(F58&lt;RP)*(RP&gt;maxB)*OR(G58&lt;Q54,G58&gt;Q55)</f>
        <v>0</v>
      </c>
      <c r="N58" s="12">
        <f>LARGE($M$54:$M$60,5)</f>
        <v>0</v>
      </c>
      <c r="O58" s="2" t="str">
        <f t="shared" si="23"/>
        <v xml:space="preserve"> </v>
      </c>
      <c r="P58" s="2"/>
      <c r="Q58" s="2"/>
      <c r="R58" s="2"/>
      <c r="S58" s="2"/>
      <c r="T58" s="5"/>
      <c r="U58" s="5"/>
      <c r="V58" s="5"/>
      <c r="W58" s="5"/>
      <c r="X58" s="5"/>
    </row>
    <row r="59" spans="1:24" ht="15" x14ac:dyDescent="0.25">
      <c r="F59" s="149">
        <f t="shared" si="22"/>
        <v>2025</v>
      </c>
      <c r="G59" s="150">
        <v>1</v>
      </c>
      <c r="H59" s="151"/>
      <c r="I59" s="152"/>
      <c r="J59" s="152"/>
      <c r="K59" s="152"/>
      <c r="L59" s="152"/>
      <c r="M59" s="12">
        <f>F59*(F59&lt;RP)*(RP&gt;maxB)*OR(G59&lt;Q54,G59&gt;Q55)</f>
        <v>0</v>
      </c>
      <c r="N59" s="12">
        <f>LARGE($M$54:$M$60,6)</f>
        <v>0</v>
      </c>
      <c r="O59" s="2" t="str">
        <f t="shared" si="23"/>
        <v xml:space="preserve"> </v>
      </c>
      <c r="P59" s="2"/>
      <c r="Q59" s="2"/>
      <c r="R59" s="2"/>
      <c r="S59" s="2"/>
      <c r="T59" s="5"/>
      <c r="U59" s="5"/>
      <c r="V59" s="5"/>
      <c r="W59" s="5"/>
      <c r="X59" s="5"/>
    </row>
    <row r="60" spans="1:24" ht="15" x14ac:dyDescent="0.25">
      <c r="F60" s="149">
        <f t="shared" si="22"/>
        <v>2026</v>
      </c>
      <c r="G60" s="150"/>
      <c r="H60" s="151"/>
      <c r="I60" s="152"/>
      <c r="J60" s="152"/>
      <c r="K60" s="152"/>
      <c r="L60" s="152"/>
      <c r="M60" s="12">
        <f>F60*(F60&lt;RP)*(RP&gt;maxB)*OR(G60&lt;Q54,G60&gt;Q55)</f>
        <v>0</v>
      </c>
      <c r="N60" s="12">
        <f>LARGE($M$54:$M$60,7)</f>
        <v>0</v>
      </c>
      <c r="O60" s="2" t="str">
        <f t="shared" si="23"/>
        <v xml:space="preserve"> </v>
      </c>
      <c r="P60" s="2"/>
      <c r="Q60" s="2"/>
      <c r="R60" s="2"/>
      <c r="S60" s="2"/>
      <c r="T60" s="2"/>
      <c r="U60" s="5"/>
      <c r="V60" s="5"/>
    </row>
    <row r="61" spans="1:24" ht="15" thickBot="1" x14ac:dyDescent="0.25">
      <c r="F61" s="153"/>
      <c r="G61" s="154"/>
      <c r="H61" s="155"/>
      <c r="I61" s="155"/>
      <c r="J61" s="155"/>
      <c r="K61" s="155"/>
      <c r="L61" s="155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</row>
  </sheetData>
  <sheetProtection algorithmName="SHA-512" hashValue="PNrfuviKf502tn9RX3FvJwHf7mZ9b8ofVSIASqVuN4EDIr4fukML/VOBiEEzB4brmzBiMa0XikDKnZ1HFC2xQg==" saltValue="ouMVkpCFHWRlkEoJB8fvHw==" spinCount="100000" sheet="1" selectLockedCells="1"/>
  <mergeCells count="16">
    <mergeCell ref="C33:D33"/>
    <mergeCell ref="B1:K1"/>
    <mergeCell ref="A2:J2"/>
    <mergeCell ref="V5:V6"/>
    <mergeCell ref="C31:D31"/>
    <mergeCell ref="C32:D32"/>
    <mergeCell ref="A43:D44"/>
    <mergeCell ref="A41:D42"/>
    <mergeCell ref="A55:D56"/>
    <mergeCell ref="H50:L54"/>
    <mergeCell ref="A38:D39"/>
    <mergeCell ref="A53:D54"/>
    <mergeCell ref="F50:G50"/>
    <mergeCell ref="A50:D52"/>
    <mergeCell ref="F51:G52"/>
    <mergeCell ref="A45:D49"/>
  </mergeCells>
  <phoneticPr fontId="0" type="noConversion"/>
  <conditionalFormatting sqref="F8:J42">
    <cfRule type="expression" dxfId="71" priority="75" stopIfTrue="1">
      <formula>OR($F8&gt;=RP,$F8=0)</formula>
    </cfRule>
  </conditionalFormatting>
  <conditionalFormatting sqref="J3">
    <cfRule type="expression" dxfId="70" priority="76" stopIfTrue="1">
      <formula>$D$3=2011</formula>
    </cfRule>
    <cfRule type="expression" dxfId="69" priority="77" stopIfTrue="1">
      <formula>$D$3&lt;&gt;2011</formula>
    </cfRule>
  </conditionalFormatting>
  <conditionalFormatting sqref="F8:V42">
    <cfRule type="expression" dxfId="68" priority="78" stopIfTrue="1">
      <formula>RP&lt;1996</formula>
    </cfRule>
  </conditionalFormatting>
  <conditionalFormatting sqref="A38">
    <cfRule type="expression" dxfId="67" priority="79" stopIfTrue="1">
      <formula>$W$3&gt;1</formula>
    </cfRule>
  </conditionalFormatting>
  <conditionalFormatting sqref="D7 D10:D11">
    <cfRule type="cellIs" dxfId="66" priority="80" stopIfTrue="1" operator="lessThan">
      <formula>0</formula>
    </cfRule>
  </conditionalFormatting>
  <conditionalFormatting sqref="D18">
    <cfRule type="expression" dxfId="65" priority="81" stopIfTrue="1">
      <formula>OR($D$18&gt;13,$D$18&lt;0)</formula>
    </cfRule>
  </conditionalFormatting>
  <conditionalFormatting sqref="D19">
    <cfRule type="expression" dxfId="64" priority="82" stopIfTrue="1">
      <formula>RP&gt;2006</formula>
    </cfRule>
    <cfRule type="expression" dxfId="63" priority="83" stopIfTrue="1">
      <formula>OR($D$19&gt;9,$D$19&lt;0)</formula>
    </cfRule>
  </conditionalFormatting>
  <conditionalFormatting sqref="D13 D15">
    <cfRule type="expression" dxfId="62" priority="84" stopIfTrue="1">
      <formula>RP&lt;2010</formula>
    </cfRule>
    <cfRule type="cellIs" dxfId="61" priority="85" stopIfTrue="1" operator="lessThan">
      <formula>0</formula>
    </cfRule>
  </conditionalFormatting>
  <conditionalFormatting sqref="A45">
    <cfRule type="expression" dxfId="60" priority="86" stopIfTrue="1">
      <formula>RP&gt;maxB</formula>
    </cfRule>
  </conditionalFormatting>
  <conditionalFormatting sqref="A34:D37">
    <cfRule type="expression" dxfId="59" priority="87" stopIfTrue="1">
      <formula>OR($W$3&gt;2,RP&gt;max)</formula>
    </cfRule>
    <cfRule type="expression" dxfId="58" priority="88" stopIfTrue="1">
      <formula>RP&gt;maxB</formula>
    </cfRule>
  </conditionalFormatting>
  <conditionalFormatting sqref="F3:I3">
    <cfRule type="expression" dxfId="57" priority="89" stopIfTrue="1">
      <formula>OR(RP&lt;2004,RP&gt;max)</formula>
    </cfRule>
    <cfRule type="expression" dxfId="56" priority="90" stopIfTrue="1">
      <formula>AND(RP&gt;maxB,RP&lt;max+1)</formula>
    </cfRule>
  </conditionalFormatting>
  <conditionalFormatting sqref="F53:G53 F50:F51 H50">
    <cfRule type="expression" dxfId="55" priority="91" stopIfTrue="1">
      <formula>RP&lt;maxB+1</formula>
    </cfRule>
  </conditionalFormatting>
  <conditionalFormatting sqref="F54:G61 M61:V61">
    <cfRule type="expression" dxfId="54" priority="92" stopIfTrue="1">
      <formula>OR(RP&lt;maxB+1,$F54&gt;RP-1)</formula>
    </cfRule>
  </conditionalFormatting>
  <conditionalFormatting sqref="L38">
    <cfRule type="expression" dxfId="53" priority="93" stopIfTrue="1">
      <formula>OR($F36&gt;=RP,$F36=0)</formula>
    </cfRule>
  </conditionalFormatting>
  <conditionalFormatting sqref="M8:V42">
    <cfRule type="expression" dxfId="52" priority="72" stopIfTrue="1">
      <formula>OR($F8&gt;RP,$F8=0)</formula>
    </cfRule>
  </conditionalFormatting>
  <conditionalFormatting sqref="K8:L42">
    <cfRule type="expression" dxfId="51" priority="71" stopIfTrue="1">
      <formula>OR($F8&gt;RP-2,$F8=0)</formula>
    </cfRule>
  </conditionalFormatting>
  <conditionalFormatting sqref="A50">
    <cfRule type="expression" dxfId="50" priority="97" stopIfTrue="1">
      <formula>M53&gt;0</formula>
    </cfRule>
  </conditionalFormatting>
  <conditionalFormatting sqref="W61:X61">
    <cfRule type="expression" dxfId="49" priority="103" stopIfTrue="1">
      <formula>OR(RP&lt;maxB+1,$F61&gt;RP-1)</formula>
    </cfRule>
  </conditionalFormatting>
  <conditionalFormatting sqref="F43:J43">
    <cfRule type="expression" dxfId="48" priority="65" stopIfTrue="1">
      <formula>OR($F43&gt;=RP,$F43=0)</formula>
    </cfRule>
  </conditionalFormatting>
  <conditionalFormatting sqref="F43:K43 M43:V43">
    <cfRule type="expression" dxfId="47" priority="66" stopIfTrue="1">
      <formula>RP&lt;1996</formula>
    </cfRule>
  </conditionalFormatting>
  <conditionalFormatting sqref="M43:V43">
    <cfRule type="expression" dxfId="46" priority="64" stopIfTrue="1">
      <formula>OR($F43&gt;RP,$F43=0)</formula>
    </cfRule>
  </conditionalFormatting>
  <conditionalFormatting sqref="K43">
    <cfRule type="expression" dxfId="45" priority="63" stopIfTrue="1">
      <formula>OR($F43&gt;RP-2,$F43=0)</formula>
    </cfRule>
  </conditionalFormatting>
  <conditionalFormatting sqref="F44:J44">
    <cfRule type="expression" dxfId="44" priority="59" stopIfTrue="1">
      <formula>OR($F44&gt;=RP,$F44=0)</formula>
    </cfRule>
  </conditionalFormatting>
  <conditionalFormatting sqref="F44:T44 V44">
    <cfRule type="expression" dxfId="43" priority="60" stopIfTrue="1">
      <formula>RP&lt;1996</formula>
    </cfRule>
  </conditionalFormatting>
  <conditionalFormatting sqref="L44:T44 V44">
    <cfRule type="expression" dxfId="42" priority="58" stopIfTrue="1">
      <formula>OR($F44&gt;RP,$F44=0)</formula>
    </cfRule>
  </conditionalFormatting>
  <conditionalFormatting sqref="K44:L44">
    <cfRule type="expression" dxfId="41" priority="57" stopIfTrue="1">
      <formula>OR($F44&gt;RP-2,$F44=0)</formula>
    </cfRule>
  </conditionalFormatting>
  <conditionalFormatting sqref="L43:L45">
    <cfRule type="expression" dxfId="40" priority="56" stopIfTrue="1">
      <formula>RP&lt;1996</formula>
    </cfRule>
  </conditionalFormatting>
  <conditionalFormatting sqref="L43:L45">
    <cfRule type="expression" dxfId="39" priority="55" stopIfTrue="1">
      <formula>OR($F43&gt;RP-2,$F43=0)</formula>
    </cfRule>
  </conditionalFormatting>
  <conditionalFormatting sqref="U44">
    <cfRule type="expression" dxfId="38" priority="52" stopIfTrue="1">
      <formula>RP&lt;1996</formula>
    </cfRule>
  </conditionalFormatting>
  <conditionalFormatting sqref="U44">
    <cfRule type="expression" dxfId="37" priority="51" stopIfTrue="1">
      <formula>OR($F44&gt;RP,$F44=0)</formula>
    </cfRule>
  </conditionalFormatting>
  <conditionalFormatting sqref="D25">
    <cfRule type="expression" dxfId="36" priority="104" stopIfTrue="1">
      <formula>#REF!&gt;MAX($J:$J)+1</formula>
    </cfRule>
  </conditionalFormatting>
  <conditionalFormatting sqref="A40:D40">
    <cfRule type="expression" dxfId="35" priority="48" stopIfTrue="1">
      <formula>RP&lt;2004</formula>
    </cfRule>
  </conditionalFormatting>
  <conditionalFormatting sqref="U45">
    <cfRule type="expression" dxfId="34" priority="41" stopIfTrue="1">
      <formula>RP&lt;1996</formula>
    </cfRule>
  </conditionalFormatting>
  <conditionalFormatting sqref="F45:J45">
    <cfRule type="expression" dxfId="33" priority="44" stopIfTrue="1">
      <formula>OR($F45&gt;=RP,$F45=0)</formula>
    </cfRule>
  </conditionalFormatting>
  <conditionalFormatting sqref="F45:T45 V45 P47">
    <cfRule type="expression" dxfId="32" priority="45" stopIfTrue="1">
      <formula>RP&lt;1996</formula>
    </cfRule>
  </conditionalFormatting>
  <conditionalFormatting sqref="L45:T45 V45 P47">
    <cfRule type="expression" dxfId="31" priority="43" stopIfTrue="1">
      <formula>OR($F45&gt;RP,$F45=0)</formula>
    </cfRule>
  </conditionalFormatting>
  <conditionalFormatting sqref="K45:L45">
    <cfRule type="expression" dxfId="30" priority="42" stopIfTrue="1">
      <formula>OR($F45&gt;RP-2,$F45=0)</formula>
    </cfRule>
  </conditionalFormatting>
  <conditionalFormatting sqref="U45">
    <cfRule type="expression" dxfId="29" priority="40" stopIfTrue="1">
      <formula>OR($F45&gt;RP,$F45=0)</formula>
    </cfRule>
  </conditionalFormatting>
  <conditionalFormatting sqref="U46:U48">
    <cfRule type="expression" dxfId="28" priority="35" stopIfTrue="1">
      <formula>RP&lt;1996</formula>
    </cfRule>
  </conditionalFormatting>
  <conditionalFormatting sqref="F46:H48 J46:J48">
    <cfRule type="expression" dxfId="27" priority="38" stopIfTrue="1">
      <formula>OR($F46&gt;=RP,$F46=0)</formula>
    </cfRule>
  </conditionalFormatting>
  <conditionalFormatting sqref="F46:H48 V46:V48 J46:K48 M46:T46 M47:O48 Q47:T48 P48">
    <cfRule type="expression" dxfId="26" priority="39" stopIfTrue="1">
      <formula>RP&lt;1996</formula>
    </cfRule>
  </conditionalFormatting>
  <conditionalFormatting sqref="M46:T46 V46:V48 M47:O48 Q47:T48 P48">
    <cfRule type="expression" dxfId="25" priority="37" stopIfTrue="1">
      <formula>OR($F46&gt;RP,$F46=0)</formula>
    </cfRule>
  </conditionalFormatting>
  <conditionalFormatting sqref="K46:K48">
    <cfRule type="expression" dxfId="24" priority="36" stopIfTrue="1">
      <formula>OR($F46&gt;RP-2,$F46=0)</formula>
    </cfRule>
  </conditionalFormatting>
  <conditionalFormatting sqref="U46:U48">
    <cfRule type="expression" dxfId="23" priority="34" stopIfTrue="1">
      <formula>OR($F46&gt;RP,$F46=0)</formula>
    </cfRule>
  </conditionalFormatting>
  <conditionalFormatting sqref="Q54:Q55">
    <cfRule type="expression" dxfId="22" priority="33" stopIfTrue="1">
      <formula>OR(RP&lt;maxB+1,$F54&gt;RP-1)</formula>
    </cfRule>
  </conditionalFormatting>
  <conditionalFormatting sqref="I46:I48">
    <cfRule type="expression" dxfId="21" priority="31" stopIfTrue="1">
      <formula>OR($F46&gt;=RP,$F46=0)</formula>
    </cfRule>
  </conditionalFormatting>
  <conditionalFormatting sqref="I46:I48">
    <cfRule type="expression" dxfId="20" priority="32" stopIfTrue="1">
      <formula>RP&lt;1996</formula>
    </cfRule>
  </conditionalFormatting>
  <conditionalFormatting sqref="L46:L48">
    <cfRule type="expression" dxfId="19" priority="25" stopIfTrue="1">
      <formula>RP&lt;1996</formula>
    </cfRule>
  </conditionalFormatting>
  <conditionalFormatting sqref="L46:L48">
    <cfRule type="expression" dxfId="18" priority="24" stopIfTrue="1">
      <formula>OR($F46&gt;RP-2,$F46=0)</formula>
    </cfRule>
  </conditionalFormatting>
  <conditionalFormatting sqref="L46:L48">
    <cfRule type="expression" dxfId="17" priority="23" stopIfTrue="1">
      <formula>RP&lt;1996</formula>
    </cfRule>
  </conditionalFormatting>
  <conditionalFormatting sqref="L46:L48">
    <cfRule type="expression" dxfId="16" priority="22" stopIfTrue="1">
      <formula>OR($F46&gt;RP,$F46=0)</formula>
    </cfRule>
  </conditionalFormatting>
  <conditionalFormatting sqref="L46:L48">
    <cfRule type="expression" dxfId="15" priority="21" stopIfTrue="1">
      <formula>OR($F46&gt;RP-2,$F46=0)</formula>
    </cfRule>
  </conditionalFormatting>
  <conditionalFormatting sqref="E3">
    <cfRule type="expression" dxfId="14" priority="15" stopIfTrue="1">
      <formula>OR(RP&lt;2004,RP&gt;max)</formula>
    </cfRule>
    <cfRule type="expression" dxfId="13" priority="16" stopIfTrue="1">
      <formula>AND(RP&gt;maxB,RP&lt;max+1)</formula>
    </cfRule>
  </conditionalFormatting>
  <conditionalFormatting sqref="U49">
    <cfRule type="expression" dxfId="12" priority="9" stopIfTrue="1">
      <formula>RP&lt;1996</formula>
    </cfRule>
  </conditionalFormatting>
  <conditionalFormatting sqref="F49:H49 J49">
    <cfRule type="expression" dxfId="11" priority="12" stopIfTrue="1">
      <formula>OR($F49&gt;=RP,$F49=0)</formula>
    </cfRule>
  </conditionalFormatting>
  <conditionalFormatting sqref="F49:H49 V49 J49:K49 M49:T49">
    <cfRule type="expression" dxfId="10" priority="13" stopIfTrue="1">
      <formula>RP&lt;1996</formula>
    </cfRule>
  </conditionalFormatting>
  <conditionalFormatting sqref="V49 M49:T49">
    <cfRule type="expression" dxfId="9" priority="11" stopIfTrue="1">
      <formula>OR($F49&gt;RP,$F49=0)</formula>
    </cfRule>
  </conditionalFormatting>
  <conditionalFormatting sqref="K49">
    <cfRule type="expression" dxfId="8" priority="10" stopIfTrue="1">
      <formula>OR($F49&gt;RP-2,$F49=0)</formula>
    </cfRule>
  </conditionalFormatting>
  <conditionalFormatting sqref="U49">
    <cfRule type="expression" dxfId="7" priority="8" stopIfTrue="1">
      <formula>OR($F49&gt;RP,$F49=0)</formula>
    </cfRule>
  </conditionalFormatting>
  <conditionalFormatting sqref="I49">
    <cfRule type="expression" dxfId="6" priority="6" stopIfTrue="1">
      <formula>OR($F49&gt;=RP,$F49=0)</formula>
    </cfRule>
  </conditionalFormatting>
  <conditionalFormatting sqref="I49">
    <cfRule type="expression" dxfId="5" priority="7" stopIfTrue="1">
      <formula>RP&lt;1996</formula>
    </cfRule>
  </conditionalFormatting>
  <conditionalFormatting sqref="L49">
    <cfRule type="expression" dxfId="4" priority="5" stopIfTrue="1">
      <formula>RP&lt;1996</formula>
    </cfRule>
  </conditionalFormatting>
  <conditionalFormatting sqref="L49">
    <cfRule type="expression" dxfId="3" priority="4" stopIfTrue="1">
      <formula>OR($F49&gt;RP-2,$F49=0)</formula>
    </cfRule>
  </conditionalFormatting>
  <conditionalFormatting sqref="L49">
    <cfRule type="expression" dxfId="2" priority="3" stopIfTrue="1">
      <formula>RP&lt;1996</formula>
    </cfRule>
  </conditionalFormatting>
  <conditionalFormatting sqref="L49">
    <cfRule type="expression" dxfId="1" priority="2" stopIfTrue="1">
      <formula>OR($F49&gt;RP,$F49=0)</formula>
    </cfRule>
  </conditionalFormatting>
  <conditionalFormatting sqref="L49">
    <cfRule type="expression" dxfId="0" priority="1" stopIfTrue="1">
      <formula>OR($F49&gt;RP-2,$F49=0)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72" orientation="portrait" r:id="rId1"/>
  <headerFooter alignWithMargins="0">
    <oddFooter>&amp;L&amp;"Times New Roman CE,Obyčejné"&amp;8MPSV - 713 - pb - &amp;F - &amp;A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7</vt:i4>
      </vt:variant>
    </vt:vector>
  </HeadingPairs>
  <TitlesOfParts>
    <vt:vector size="8" baseType="lpstr">
      <vt:lpstr>vyse_duchodu</vt:lpstr>
      <vt:lpstr>max</vt:lpstr>
      <vt:lpstr>maxB</vt:lpstr>
      <vt:lpstr>MTC</vt:lpstr>
      <vt:lpstr>odhad</vt:lpstr>
      <vt:lpstr>ovz</vt:lpstr>
      <vt:lpstr>RP</vt:lpstr>
      <vt:lpstr>US</vt:lpstr>
    </vt:vector>
  </TitlesOfParts>
  <Company>MPVS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creator>Böss Petr (MPSV)</dc:creator>
  <cp:lastModifiedBy>Suchomel Marek Ing. (MPSV)</cp:lastModifiedBy>
  <cp:lastPrinted>2019-09-03T22:10:43Z</cp:lastPrinted>
  <dcterms:created xsi:type="dcterms:W3CDTF">1998-09-24T06:59:17Z</dcterms:created>
  <dcterms:modified xsi:type="dcterms:W3CDTF">2020-10-01T11:46:57Z</dcterms:modified>
</cp:coreProperties>
</file>