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backupFile="1"/>
  <mc:AlternateContent xmlns:mc="http://schemas.openxmlformats.org/markup-compatibility/2006">
    <mc:Choice Requires="x15">
      <x15ac:absPath xmlns:x15ac="http://schemas.microsoft.com/office/spreadsheetml/2010/11/ac" url="O:\sd_0212\Suchomel\Kalkulačky\"/>
    </mc:Choice>
  </mc:AlternateContent>
  <xr:revisionPtr revIDLastSave="0" documentId="13_ncr:1_{46CD97BE-C24D-49EA-8CD4-18EB739206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yse_duchodu" sheetId="1" r:id="rId1"/>
  </sheets>
  <definedNames>
    <definedName name="Krácení">vyse_duchodu!$Z$6:$AA$10</definedName>
    <definedName name="max">vyse_duchodu!$R$3</definedName>
    <definedName name="maxB">vyse_duchodu!$N$3</definedName>
    <definedName name="MP">vyse_duchodu!$I$3</definedName>
    <definedName name="MTC">vyse_duchodu!$F$8:$W$52</definedName>
    <definedName name="odhad">vyse_duchodu!$F$57:$G$64</definedName>
    <definedName name="ovz">vyse_duchodu!$C$34</definedName>
    <definedName name="RP">vyse_duchodu!$D$3</definedName>
    <definedName name="US">vyse_duchodu!$K$3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F51" i="1"/>
  <c r="Z3" i="1"/>
  <c r="C18" i="1" s="1" a="1"/>
  <c r="C18" i="1" s="1"/>
  <c r="Z10" i="1"/>
  <c r="M54" i="1" l="1"/>
  <c r="A20" i="1"/>
  <c r="J50" i="1"/>
  <c r="X3" i="1" l="1"/>
  <c r="X19" i="1"/>
  <c r="T30" i="1"/>
  <c r="U30" i="1" s="1"/>
  <c r="T31" i="1" l="1"/>
  <c r="U31" i="1" l="1"/>
  <c r="T32" i="1"/>
  <c r="U32" i="1" l="1"/>
  <c r="T33" i="1"/>
  <c r="A58" i="1"/>
  <c r="A56" i="1"/>
  <c r="A46" i="1"/>
  <c r="H53" i="1"/>
  <c r="F57" i="1"/>
  <c r="M57" i="1" s="1"/>
  <c r="C38" i="1"/>
  <c r="D30" i="1"/>
  <c r="C32" i="1" s="1"/>
  <c r="A29" i="1"/>
  <c r="C27" i="1"/>
  <c r="Z9" i="1" s="1"/>
  <c r="D27" i="1" s="1" a="1"/>
  <c r="D27" i="1" s="1"/>
  <c r="D26" i="1"/>
  <c r="D25" i="1"/>
  <c r="A48" i="1"/>
  <c r="C19" i="1"/>
  <c r="A19" i="1"/>
  <c r="C15" i="1"/>
  <c r="A15" i="1"/>
  <c r="A14" i="1"/>
  <c r="C13" i="1"/>
  <c r="A13" i="1"/>
  <c r="A12" i="1"/>
  <c r="F9" i="1"/>
  <c r="A42" i="1"/>
  <c r="K3" i="1"/>
  <c r="Z8" i="1" l="1"/>
  <c r="Z7" i="1"/>
  <c r="D28" i="1"/>
  <c r="Z6" i="1"/>
  <c r="T34" i="1"/>
  <c r="U33" i="1"/>
  <c r="M33" i="1"/>
  <c r="R33" i="1"/>
  <c r="N33" i="1"/>
  <c r="O33" i="1"/>
  <c r="P33" i="1"/>
  <c r="Q33" i="1"/>
  <c r="F10" i="1"/>
  <c r="F58" i="1"/>
  <c r="M58" i="1" s="1"/>
  <c r="D34" i="1"/>
  <c r="C33" i="1" s="1"/>
  <c r="T35" i="1" l="1"/>
  <c r="S34" i="1"/>
  <c r="U34" i="1"/>
  <c r="F11" i="1"/>
  <c r="F59" i="1"/>
  <c r="M59" i="1" s="1"/>
  <c r="S35" i="1" l="1"/>
  <c r="O35" i="1"/>
  <c r="N35" i="1"/>
  <c r="M35" i="1"/>
  <c r="T36" i="1"/>
  <c r="U35" i="1"/>
  <c r="F12" i="1"/>
  <c r="F60" i="1"/>
  <c r="U36" i="1" l="1"/>
  <c r="M36" i="1"/>
  <c r="N36" i="1"/>
  <c r="T37" i="1"/>
  <c r="O36" i="1"/>
  <c r="S36" i="1"/>
  <c r="F61" i="1"/>
  <c r="M61" i="1" s="1"/>
  <c r="M60" i="1"/>
  <c r="F13" i="1"/>
  <c r="M37" i="1" l="1"/>
  <c r="T38" i="1"/>
  <c r="U37" i="1"/>
  <c r="N37" i="1"/>
  <c r="S37" i="1"/>
  <c r="F62" i="1"/>
  <c r="F14" i="1"/>
  <c r="M62" i="1" l="1"/>
  <c r="S38" i="1"/>
  <c r="U38" i="1"/>
  <c r="N38" i="1"/>
  <c r="M38" i="1"/>
  <c r="T39" i="1"/>
  <c r="F63" i="1"/>
  <c r="M63" i="1" s="1"/>
  <c r="F15" i="1"/>
  <c r="N59" i="1" l="1"/>
  <c r="O59" i="1" s="1"/>
  <c r="N57" i="1"/>
  <c r="O57" i="1" s="1"/>
  <c r="N60" i="1"/>
  <c r="O60" i="1" s="1"/>
  <c r="N62" i="1"/>
  <c r="O62" i="1" s="1"/>
  <c r="N58" i="1"/>
  <c r="O58" i="1" s="1"/>
  <c r="U39" i="1"/>
  <c r="N39" i="1"/>
  <c r="T40" i="1"/>
  <c r="S39" i="1"/>
  <c r="M39" i="1"/>
  <c r="N61" i="1"/>
  <c r="O61" i="1" s="1"/>
  <c r="N63" i="1"/>
  <c r="O63" i="1" s="1"/>
  <c r="M56" i="1"/>
  <c r="A53" i="1" s="1"/>
  <c r="F16" i="1"/>
  <c r="N56" i="1" l="1"/>
  <c r="M40" i="1"/>
  <c r="N40" i="1"/>
  <c r="T41" i="1"/>
  <c r="S40" i="1"/>
  <c r="U40" i="1"/>
  <c r="M55" i="1"/>
  <c r="F17" i="1"/>
  <c r="N41" i="1" l="1"/>
  <c r="T42" i="1"/>
  <c r="M41" i="1"/>
  <c r="S41" i="1"/>
  <c r="U41" i="1"/>
  <c r="F18" i="1"/>
  <c r="N42" i="1" l="1"/>
  <c r="S42" i="1"/>
  <c r="U42" i="1"/>
  <c r="M42" i="1"/>
  <c r="F19" i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T43" i="1"/>
  <c r="M43" i="1" l="1"/>
  <c r="N43" i="1"/>
  <c r="S43" i="1"/>
  <c r="U43" i="1"/>
  <c r="T44" i="1"/>
  <c r="F43" i="1"/>
  <c r="M44" i="1" l="1"/>
  <c r="N44" i="1"/>
  <c r="S44" i="1"/>
  <c r="U44" i="1"/>
  <c r="F44" i="1"/>
  <c r="T45" i="1" l="1"/>
  <c r="S45" i="1" s="1"/>
  <c r="F45" i="1"/>
  <c r="T46" i="1" l="1"/>
  <c r="U46" i="1" s="1"/>
  <c r="N45" i="1"/>
  <c r="M45" i="1"/>
  <c r="U45" i="1"/>
  <c r="F46" i="1"/>
  <c r="T47" i="1" l="1"/>
  <c r="N47" i="1" s="1"/>
  <c r="N46" i="1"/>
  <c r="S46" i="1"/>
  <c r="M46" i="1"/>
  <c r="L46" i="1"/>
  <c r="F47" i="1"/>
  <c r="K46" i="1"/>
  <c r="M47" i="1" l="1"/>
  <c r="S47" i="1"/>
  <c r="U47" i="1"/>
  <c r="F48" i="1"/>
  <c r="L47" i="1"/>
  <c r="T48" i="1"/>
  <c r="K47" i="1"/>
  <c r="T49" i="1" l="1"/>
  <c r="M49" i="1" s="1"/>
  <c r="L48" i="1"/>
  <c r="F49" i="1"/>
  <c r="K48" i="1"/>
  <c r="N48" i="1"/>
  <c r="M48" i="1"/>
  <c r="S48" i="1"/>
  <c r="U48" i="1"/>
  <c r="U49" i="1" l="1"/>
  <c r="S49" i="1"/>
  <c r="N49" i="1"/>
  <c r="F50" i="1"/>
  <c r="T50" i="1"/>
  <c r="L49" i="1"/>
  <c r="Q52" i="1"/>
  <c r="K49" i="1"/>
  <c r="K50" i="1" s="1"/>
  <c r="L7" i="1"/>
  <c r="L50" i="1" l="1"/>
  <c r="P52" i="1"/>
  <c r="O52" i="1"/>
  <c r="R52" i="1"/>
  <c r="I50" i="1"/>
  <c r="U50" i="1"/>
  <c r="N50" i="1"/>
  <c r="N52" i="1" s="1"/>
  <c r="M50" i="1"/>
  <c r="M52" i="1" s="1"/>
  <c r="S50" i="1"/>
  <c r="D39" i="1" s="1"/>
  <c r="D4" i="1"/>
  <c r="B1" i="1"/>
  <c r="I49" i="1"/>
  <c r="J49" i="1" s="1"/>
  <c r="I47" i="1"/>
  <c r="J47" i="1" s="1"/>
  <c r="I21" i="1"/>
  <c r="J21" i="1" s="1"/>
  <c r="I45" i="1"/>
  <c r="J45" i="1" s="1"/>
  <c r="I18" i="1"/>
  <c r="J18" i="1" s="1"/>
  <c r="I24" i="1"/>
  <c r="J24" i="1" s="1"/>
  <c r="I44" i="1"/>
  <c r="J44" i="1" s="1"/>
  <c r="I36" i="1"/>
  <c r="J36" i="1" s="1"/>
  <c r="I35" i="1"/>
  <c r="J35" i="1" s="1"/>
  <c r="I15" i="1"/>
  <c r="J15" i="1" s="1"/>
  <c r="I28" i="1"/>
  <c r="J28" i="1" s="1"/>
  <c r="I17" i="1"/>
  <c r="J17" i="1" s="1"/>
  <c r="I14" i="1"/>
  <c r="J14" i="1" s="1"/>
  <c r="I48" i="1"/>
  <c r="J48" i="1" s="1"/>
  <c r="I27" i="1"/>
  <c r="J27" i="1" s="1"/>
  <c r="I8" i="1"/>
  <c r="J8" i="1" s="1"/>
  <c r="I42" i="1"/>
  <c r="J42" i="1" s="1"/>
  <c r="I32" i="1"/>
  <c r="J32" i="1" s="1"/>
  <c r="I20" i="1"/>
  <c r="J20" i="1" s="1"/>
  <c r="I40" i="1"/>
  <c r="J40" i="1" s="1"/>
  <c r="I22" i="1"/>
  <c r="J22" i="1" s="1"/>
  <c r="I39" i="1"/>
  <c r="J39" i="1" s="1"/>
  <c r="I33" i="1"/>
  <c r="J33" i="1" s="1"/>
  <c r="I25" i="1"/>
  <c r="J25" i="1" s="1"/>
  <c r="I29" i="1"/>
  <c r="J29" i="1" s="1"/>
  <c r="I9" i="1"/>
  <c r="J9" i="1" s="1"/>
  <c r="I31" i="1"/>
  <c r="J31" i="1" s="1"/>
  <c r="I10" i="1"/>
  <c r="J10" i="1" s="1"/>
  <c r="I13" i="1"/>
  <c r="J13" i="1" s="1"/>
  <c r="I46" i="1"/>
  <c r="J46" i="1" s="1"/>
  <c r="I26" i="1"/>
  <c r="J26" i="1" s="1"/>
  <c r="I11" i="1"/>
  <c r="J11" i="1" s="1"/>
  <c r="I23" i="1"/>
  <c r="J23" i="1" s="1"/>
  <c r="I16" i="1"/>
  <c r="J16" i="1" s="1"/>
  <c r="I34" i="1"/>
  <c r="J34" i="1" s="1"/>
  <c r="I38" i="1"/>
  <c r="J38" i="1" s="1"/>
  <c r="I30" i="1"/>
  <c r="J30" i="1" s="1"/>
  <c r="I41" i="1"/>
  <c r="J41" i="1" s="1"/>
  <c r="I43" i="1"/>
  <c r="J43" i="1" s="1"/>
  <c r="I12" i="1"/>
  <c r="J12" i="1" s="1"/>
  <c r="I37" i="1"/>
  <c r="J37" i="1" s="1"/>
  <c r="I19" i="1"/>
  <c r="J19" i="1" s="1"/>
  <c r="C36" i="1" l="1"/>
  <c r="C35" i="1"/>
  <c r="D31" i="1"/>
  <c r="C34" i="1" s="1"/>
  <c r="S52" i="1" s="1"/>
  <c r="T52" i="1" l="1"/>
  <c r="C37" i="1" s="1"/>
  <c r="D40" i="1" s="1"/>
  <c r="D4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<sst xmlns="http://schemas.openxmlformats.org/spreadsheetml/2006/main" count="128" uniqueCount="100">
  <si>
    <t>SKRÝT</t>
  </si>
  <si>
    <t>Vyplňte prosím do zelených buněk rok přiznání důchodu, výše vyměřovacích základů, vyloučených dob a dobu pojištění</t>
  </si>
  <si>
    <t>indikace chyby</t>
  </si>
  <si>
    <t>rok přiznání důchodu</t>
  </si>
  <si>
    <t>ne</t>
  </si>
  <si>
    <r>
      <t xml:space="preserve"> </t>
    </r>
    <r>
      <rPr>
        <b/>
        <u/>
        <sz val="11"/>
        <rFont val="Times New Roman CE"/>
        <charset val="238"/>
      </rPr>
      <t>Doba pojištění</t>
    </r>
  </si>
  <si>
    <t>V</t>
  </si>
  <si>
    <t xml:space="preserve">Vyměřovací </t>
  </si>
  <si>
    <t>Vyloučené</t>
  </si>
  <si>
    <t>Koeficient</t>
  </si>
  <si>
    <t>Roční</t>
  </si>
  <si>
    <t>Všeobecný</t>
  </si>
  <si>
    <t>Přepočítací</t>
  </si>
  <si>
    <t xml:space="preserve">Redukční </t>
  </si>
  <si>
    <t>Redukce na</t>
  </si>
  <si>
    <t>Základní</t>
  </si>
  <si>
    <t>Průměrná</t>
  </si>
  <si>
    <t>Maximální</t>
  </si>
  <si>
    <t>náso bek</t>
  </si>
  <si>
    <t>POZOR ! Není vyplněna doba pojištění ke dni vzniku nároku na důchod!</t>
  </si>
  <si>
    <t xml:space="preserve"> Počet let pojištění ke dni vzniku nároku na důchod</t>
  </si>
  <si>
    <t>roce</t>
  </si>
  <si>
    <t>základ</t>
  </si>
  <si>
    <t>doby</t>
  </si>
  <si>
    <t>nárůstu</t>
  </si>
  <si>
    <t>vyměřovací</t>
  </si>
  <si>
    <t>koeficient</t>
  </si>
  <si>
    <t>hranice</t>
  </si>
  <si>
    <t>v pásmu</t>
  </si>
  <si>
    <t>výměra</t>
  </si>
  <si>
    <t>mzda</t>
  </si>
  <si>
    <t>POZOR ! Je vyplněna doba za přesluhování a současně doba za předčasný odchod do důchodu, což není možné !</t>
  </si>
  <si>
    <t>se sazbou 1,5%</t>
  </si>
  <si>
    <t>(Kč)</t>
  </si>
  <si>
    <t>(dny)</t>
  </si>
  <si>
    <t>VVZ</t>
  </si>
  <si>
    <t>I.</t>
  </si>
  <si>
    <t>II.</t>
  </si>
  <si>
    <t>III.</t>
  </si>
  <si>
    <t>I. - II.</t>
  </si>
  <si>
    <t>II. - III.</t>
  </si>
  <si>
    <t>nad III.</t>
  </si>
  <si>
    <t>max.</t>
  </si>
  <si>
    <t>POZOR ! Je vyplněna doba pro trvale krácený i dočasně krácený předčasný starobní důchod, což není možné !</t>
  </si>
  <si>
    <r>
      <t xml:space="preserve"> </t>
    </r>
    <r>
      <rPr>
        <u/>
        <sz val="11"/>
        <rFont val="Times New Roman CE"/>
        <charset val="238"/>
      </rPr>
      <t>Při přesluhování</t>
    </r>
    <r>
      <rPr>
        <sz val="11"/>
        <rFont val="Times New Roman CE"/>
        <family val="1"/>
        <charset val="238"/>
      </rPr>
      <t xml:space="preserve"> - </t>
    </r>
    <r>
      <rPr>
        <sz val="9"/>
        <rFont val="Times New Roman CE"/>
        <family val="1"/>
        <charset val="238"/>
      </rPr>
      <t>výdělečná činnost po dosažení důchodového věku</t>
    </r>
  </si>
  <si>
    <t xml:space="preserve"> bez pobírání důchodu - počet čtvrtletí (ukončených 90 dnů)  </t>
  </si>
  <si>
    <t>30.9..1996 se základní výměra zvýšila na 1 060 Kč a procentní výměra o dalších 6%.</t>
  </si>
  <si>
    <t xml:space="preserve">    před 1.7.2001 </t>
  </si>
  <si>
    <t>zvýšení sazby o 1,0%</t>
  </si>
  <si>
    <t>31.3.1996 se základní výměra zvýšila na 920 Kč a procentní výměra o 8%</t>
  </si>
  <si>
    <t xml:space="preserve">    po 30.6.2001</t>
  </si>
  <si>
    <t>zvýšení sazby o 1,5%</t>
  </si>
  <si>
    <t>31.7.1997 se základní výměra zvýšila na 1 260 Kč a procentní výměra o 8%.</t>
  </si>
  <si>
    <t>30.6.1998 se základní výměra zvýšila na 1 310 Kč a procentní výměra o 5%.</t>
  </si>
  <si>
    <t>31.7.1999 se procentní výměra zvýšila o 5%.</t>
  </si>
  <si>
    <t>30.11.2000 se procentní výměra zvýšila o 5%.</t>
  </si>
  <si>
    <t>30.11.2001 se procentní výměra zvýšila o 8%.</t>
  </si>
  <si>
    <r>
      <t xml:space="preserve"> </t>
    </r>
    <r>
      <rPr>
        <u/>
        <sz val="11"/>
        <rFont val="Times New Roman CE"/>
        <charset val="238"/>
      </rPr>
      <t>Při předčasném odchodu</t>
    </r>
    <r>
      <rPr>
        <sz val="11"/>
        <rFont val="Times New Roman CE"/>
        <family val="1"/>
        <charset val="238"/>
      </rPr>
      <t xml:space="preserve"> - počet čtvrtletí (každých i započatých </t>
    </r>
  </si>
  <si>
    <t xml:space="preserve"> 90 dnů chybějících do dosažení důchodového věku)</t>
  </si>
  <si>
    <t>trvale krácené (§31)</t>
  </si>
  <si>
    <t xml:space="preserve"> Procentní sazby pro stanovení procentní výměry důchodu</t>
  </si>
  <si>
    <t xml:space="preserve">   za dobu pojištění do vzniku nároku na důchod</t>
  </si>
  <si>
    <t xml:space="preserve">   za přesluhování</t>
  </si>
  <si>
    <t xml:space="preserve">   za předčasný odchod do důchodu</t>
  </si>
  <si>
    <t>celkem</t>
  </si>
  <si>
    <t xml:space="preserve"> Rozhodné období tvoří roky</t>
  </si>
  <si>
    <t>1986  -</t>
  </si>
  <si>
    <t xml:space="preserve"> Úhrn ročních vyměřovacích základů</t>
  </si>
  <si>
    <t xml:space="preserve"> Počet dnů</t>
  </si>
  <si>
    <t>v rozhodném období</t>
  </si>
  <si>
    <t>vyloučených</t>
  </si>
  <si>
    <t xml:space="preserve"> Osobní vyměřovací základ</t>
  </si>
  <si>
    <t xml:space="preserve"> Redukční hranice</t>
  </si>
  <si>
    <t>započte se</t>
  </si>
  <si>
    <t>Výpočtový základ :</t>
  </si>
  <si>
    <r>
      <t xml:space="preserve">   </t>
    </r>
    <r>
      <rPr>
        <b/>
        <u/>
        <sz val="11"/>
        <rFont val="Times New Roman CE"/>
        <family val="1"/>
        <charset val="238"/>
      </rPr>
      <t>Vypočtená výše důchodu</t>
    </r>
  </si>
  <si>
    <t>základní výměra důchodu</t>
  </si>
  <si>
    <t>procentní výměra důchodu</t>
  </si>
  <si>
    <t>úhrnná výše důchodu</t>
  </si>
  <si>
    <t>Odhadovaný růst</t>
  </si>
  <si>
    <t>rok</t>
  </si>
  <si>
    <t>odhad</t>
  </si>
  <si>
    <t>průměrné mzdy
v %</t>
  </si>
  <si>
    <t>Uvedena výše důchodu při jeho přiznání na počátku roku.  Při přiznání po:</t>
  </si>
  <si>
    <t>30.6.2008 se základní výměra zvýšila z 1 700 na 2 170 Kč</t>
  </si>
  <si>
    <t>Kvůli zveřejnění na www. MPSV hlásí nemožnost výpočtu pro přiznání</t>
  </si>
  <si>
    <t>dávat pozor na upřesňující poznámky pod tabulkou.</t>
  </si>
  <si>
    <t xml:space="preserve">před rokem 2004, ale výpočet je přesto proveden správně, jen je třeba </t>
  </si>
  <si>
    <t>pak podle odhadu růstu mezd do roku</t>
  </si>
  <si>
    <t>do roku</t>
  </si>
  <si>
    <t>zpochybnit</t>
  </si>
  <si>
    <t>růst menší</t>
  </si>
  <si>
    <t>růst větší</t>
  </si>
  <si>
    <t>x-x-x</t>
  </si>
  <si>
    <t>Výchovné</t>
  </si>
  <si>
    <t>měsíc přiznání důchodu</t>
  </si>
  <si>
    <t>snížení sazby o 0,6%</t>
  </si>
  <si>
    <t>snížení sazby o 0,9%</t>
  </si>
  <si>
    <t>snížení o 1,5%</t>
  </si>
  <si>
    <t>snížení o 0,9%; 1,2%; 1,5%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</si>
</sst>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;;;"/>
    <numFmt numFmtId="165" formatCode="#,##0_K"/>
    <numFmt numFmtId="166" formatCode="#,##0.0000_K"/>
    <numFmt numFmtId="167" formatCode="#,##0_K_K"/>
    <numFmt numFmtId="168" formatCode="#,##0.0_k%_K"/>
    <numFmt numFmtId="169" formatCode="#,##0\ &quot;Kč&quot;_K"/>
    <numFmt numFmtId="170" formatCode="#,##0.0_K"/>
    <numFmt numFmtId="171" formatCode="#,##0.000_K"/>
  </numFmts>
  <fonts count="23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color indexed="13"/>
      <name val="Times New Roman CE"/>
      <family val="1"/>
      <charset val="238"/>
    </font>
    <font>
      <b/>
      <i/>
      <sz val="11"/>
      <color indexed="10"/>
      <name val="Times New Roman CE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b/>
      <u/>
      <sz val="11"/>
      <name val="Times New Roman CE"/>
      <charset val="238"/>
    </font>
    <font>
      <sz val="11"/>
      <name val="Times New Roman CE"/>
      <charset val="238"/>
    </font>
    <font>
      <u/>
      <sz val="11"/>
      <name val="Times New Roman CE"/>
      <charset val="238"/>
    </font>
    <font>
      <sz val="9"/>
      <name val="Times New Roman CE"/>
      <family val="1"/>
      <charset val="238"/>
    </font>
    <font>
      <b/>
      <u/>
      <sz val="11"/>
      <name val="Times New Roman CE"/>
      <family val="1"/>
      <charset val="238"/>
    </font>
    <font>
      <b/>
      <sz val="11"/>
      <color indexed="13"/>
      <name val="Times New Roman CE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charset val="238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1"/>
      <color theme="0"/>
      <name val="Times New Roman CE"/>
      <charset val="238"/>
    </font>
    <font>
      <sz val="10"/>
      <color theme="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210">
    <xf numFmtId="0" fontId="0" fillId="0" borderId="0" xfId="0"/>
    <xf numFmtId="165" fontId="4" fillId="0" borderId="0" xfId="1" applyFont="1" applyFill="1" applyProtection="1">
      <protection locked="0" hidden="1"/>
    </xf>
    <xf numFmtId="165" fontId="4" fillId="0" borderId="0" xfId="1" applyNumberFormat="1" applyFont="1" applyProtection="1">
      <protection hidden="1"/>
    </xf>
    <xf numFmtId="165" fontId="6" fillId="2" borderId="0" xfId="1" applyFont="1" applyFill="1" applyAlignment="1" applyProtection="1">
      <alignment horizontal="center"/>
      <protection hidden="1"/>
    </xf>
    <xf numFmtId="165" fontId="1" fillId="0" borderId="0" xfId="1" applyProtection="1">
      <protection hidden="1"/>
    </xf>
    <xf numFmtId="165" fontId="4" fillId="0" borderId="0" xfId="1" applyFont="1" applyProtection="1">
      <protection hidden="1"/>
    </xf>
    <xf numFmtId="165" fontId="8" fillId="0" borderId="0" xfId="1" applyFont="1" applyFill="1" applyAlignment="1" applyProtection="1">
      <alignment horizontal="center"/>
      <protection hidden="1"/>
    </xf>
    <xf numFmtId="165" fontId="8" fillId="0" borderId="0" xfId="1" applyFont="1" applyFill="1" applyAlignment="1" applyProtection="1">
      <alignment horizontal="right"/>
      <protection hidden="1"/>
    </xf>
    <xf numFmtId="165" fontId="9" fillId="0" borderId="0" xfId="1" applyFont="1" applyProtection="1">
      <protection hidden="1"/>
    </xf>
    <xf numFmtId="165" fontId="9" fillId="0" borderId="0" xfId="1" applyFont="1" applyAlignment="1" applyProtection="1">
      <alignment horizontal="center"/>
      <protection locked="0" hidden="1"/>
    </xf>
    <xf numFmtId="164" fontId="4" fillId="0" borderId="0" xfId="1" applyNumberFormat="1" applyFont="1" applyProtection="1"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1" fontId="4" fillId="8" borderId="0" xfId="1" applyNumberFormat="1" applyFont="1" applyFill="1" applyAlignment="1" applyProtection="1">
      <alignment horizontal="center"/>
      <protection hidden="1"/>
    </xf>
    <xf numFmtId="1" fontId="8" fillId="4" borderId="0" xfId="1" applyNumberFormat="1" applyFont="1" applyFill="1" applyAlignment="1" applyProtection="1">
      <alignment horizontal="center"/>
      <protection hidden="1"/>
    </xf>
    <xf numFmtId="165" fontId="10" fillId="0" borderId="0" xfId="1" applyFont="1" applyFill="1" applyAlignment="1" applyProtection="1">
      <alignment horizontal="center"/>
      <protection hidden="1"/>
    </xf>
    <xf numFmtId="165" fontId="10" fillId="0" borderId="0" xfId="1" applyNumberFormat="1" applyFont="1" applyFill="1" applyAlignment="1" applyProtection="1">
      <alignment horizontal="center"/>
      <protection hidden="1"/>
    </xf>
    <xf numFmtId="165" fontId="8" fillId="0" borderId="1" xfId="1" applyFont="1" applyFill="1" applyBorder="1" applyProtection="1">
      <protection hidden="1"/>
    </xf>
    <xf numFmtId="165" fontId="4" fillId="0" borderId="2" xfId="1" applyFont="1" applyFill="1" applyBorder="1" applyProtection="1">
      <protection hidden="1"/>
    </xf>
    <xf numFmtId="165" fontId="4" fillId="0" borderId="3" xfId="1" applyFont="1" applyFill="1" applyBorder="1" applyProtection="1">
      <protection hidden="1"/>
    </xf>
    <xf numFmtId="165" fontId="4" fillId="0" borderId="0" xfId="1" applyFont="1" applyFill="1" applyProtection="1">
      <protection hidden="1"/>
    </xf>
    <xf numFmtId="165" fontId="8" fillId="5" borderId="4" xfId="1" applyFont="1" applyFill="1" applyBorder="1" applyAlignment="1" applyProtection="1">
      <alignment horizontal="center"/>
      <protection hidden="1"/>
    </xf>
    <xf numFmtId="165" fontId="8" fillId="5" borderId="5" xfId="1" applyFont="1" applyFill="1" applyBorder="1" applyAlignment="1" applyProtection="1">
      <alignment horizontal="center"/>
      <protection hidden="1"/>
    </xf>
    <xf numFmtId="165" fontId="8" fillId="5" borderId="3" xfId="1" applyFont="1" applyFill="1" applyBorder="1" applyAlignment="1" applyProtection="1">
      <alignment horizontal="center"/>
      <protection hidden="1"/>
    </xf>
    <xf numFmtId="166" fontId="4" fillId="0" borderId="5" xfId="1" applyNumberFormat="1" applyFont="1" applyBorder="1" applyAlignment="1" applyProtection="1">
      <alignment horizontal="center"/>
      <protection hidden="1"/>
    </xf>
    <xf numFmtId="165" fontId="4" fillId="0" borderId="3" xfId="1" applyNumberFormat="1" applyFont="1" applyBorder="1" applyAlignment="1" applyProtection="1">
      <alignment horizontal="center"/>
      <protection hidden="1"/>
    </xf>
    <xf numFmtId="165" fontId="4" fillId="0" borderId="5" xfId="1" applyNumberFormat="1" applyFont="1" applyBorder="1" applyAlignment="1" applyProtection="1">
      <alignment horizontal="center"/>
      <protection hidden="1"/>
    </xf>
    <xf numFmtId="165" fontId="4" fillId="0" borderId="4" xfId="1" applyNumberFormat="1" applyFont="1" applyBorder="1" applyAlignment="1" applyProtection="1">
      <alignment horizontal="center"/>
      <protection hidden="1"/>
    </xf>
    <xf numFmtId="165" fontId="4" fillId="0" borderId="6" xfId="1" applyNumberFormat="1" applyFont="1" applyBorder="1" applyAlignment="1" applyProtection="1">
      <alignment horizontal="center"/>
      <protection hidden="1"/>
    </xf>
    <xf numFmtId="165" fontId="4" fillId="0" borderId="1" xfId="1" applyNumberFormat="1" applyFont="1" applyBorder="1" applyAlignment="1" applyProtection="1">
      <alignment horizontal="center"/>
      <protection hidden="1"/>
    </xf>
    <xf numFmtId="165" fontId="4" fillId="0" borderId="4" xfId="1" applyFont="1" applyBorder="1" applyAlignment="1" applyProtection="1">
      <alignment horizontal="center"/>
      <protection hidden="1"/>
    </xf>
    <xf numFmtId="165" fontId="4" fillId="0" borderId="0" xfId="1" applyNumberFormat="1" applyFont="1" applyFill="1" applyProtection="1">
      <protection hidden="1"/>
    </xf>
    <xf numFmtId="0" fontId="4" fillId="0" borderId="7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65" fontId="4" fillId="0" borderId="8" xfId="1" applyFont="1" applyFill="1" applyBorder="1" applyProtection="1">
      <protection hidden="1"/>
    </xf>
    <xf numFmtId="165" fontId="8" fillId="5" borderId="9" xfId="1" applyFont="1" applyFill="1" applyBorder="1" applyAlignment="1" applyProtection="1">
      <alignment horizontal="center"/>
      <protection hidden="1"/>
    </xf>
    <xf numFmtId="165" fontId="8" fillId="5" borderId="10" xfId="1" applyFont="1" applyFill="1" applyBorder="1" applyAlignment="1" applyProtection="1">
      <alignment horizontal="center"/>
      <protection hidden="1"/>
    </xf>
    <xf numFmtId="165" fontId="8" fillId="5" borderId="8" xfId="1" applyFont="1" applyFill="1" applyBorder="1" applyAlignment="1" applyProtection="1">
      <alignment horizontal="center"/>
      <protection hidden="1"/>
    </xf>
    <xf numFmtId="166" fontId="4" fillId="0" borderId="10" xfId="1" applyNumberFormat="1" applyFont="1" applyBorder="1" applyAlignment="1" applyProtection="1">
      <alignment horizontal="center"/>
      <protection hidden="1"/>
    </xf>
    <xf numFmtId="165" fontId="4" fillId="0" borderId="8" xfId="1" applyNumberFormat="1" applyFont="1" applyBorder="1" applyAlignment="1" applyProtection="1">
      <alignment horizontal="center"/>
      <protection hidden="1"/>
    </xf>
    <xf numFmtId="165" fontId="4" fillId="0" borderId="10" xfId="1" applyNumberFormat="1" applyFont="1" applyBorder="1" applyAlignment="1" applyProtection="1">
      <alignment horizontal="center"/>
      <protection hidden="1"/>
    </xf>
    <xf numFmtId="165" fontId="4" fillId="0" borderId="9" xfId="1" applyNumberFormat="1" applyFont="1" applyBorder="1" applyAlignment="1" applyProtection="1">
      <alignment horizontal="center"/>
      <protection hidden="1"/>
    </xf>
    <xf numFmtId="165" fontId="4" fillId="0" borderId="11" xfId="1" applyNumberFormat="1" applyFont="1" applyBorder="1" applyAlignment="1" applyProtection="1">
      <alignment horizontal="center"/>
      <protection hidden="1"/>
    </xf>
    <xf numFmtId="165" fontId="4" fillId="0" borderId="7" xfId="1" applyNumberFormat="1" applyFont="1" applyBorder="1" applyAlignment="1" applyProtection="1">
      <alignment horizontal="center"/>
      <protection hidden="1"/>
    </xf>
    <xf numFmtId="165" fontId="4" fillId="0" borderId="9" xfId="1" applyFont="1" applyBorder="1" applyAlignment="1" applyProtection="1">
      <alignment horizontal="center"/>
      <protection hidden="1"/>
    </xf>
    <xf numFmtId="165" fontId="4" fillId="0" borderId="7" xfId="1" applyFont="1" applyFill="1" applyBorder="1" applyProtection="1">
      <protection hidden="1"/>
    </xf>
    <xf numFmtId="165" fontId="4" fillId="0" borderId="0" xfId="1" applyFont="1" applyFill="1" applyBorder="1" applyProtection="1">
      <protection hidden="1"/>
    </xf>
    <xf numFmtId="165" fontId="4" fillId="0" borderId="0" xfId="1" applyFont="1" applyFill="1" applyBorder="1" applyAlignment="1" applyProtection="1">
      <alignment horizontal="right"/>
      <protection hidden="1"/>
    </xf>
    <xf numFmtId="165" fontId="8" fillId="3" borderId="8" xfId="0" applyNumberFormat="1" applyFont="1" applyFill="1" applyBorder="1" applyAlignment="1" applyProtection="1">
      <alignment horizontal="center"/>
      <protection locked="0" hidden="1"/>
    </xf>
    <xf numFmtId="165" fontId="8" fillId="5" borderId="12" xfId="1" applyFont="1" applyFill="1" applyBorder="1" applyAlignment="1" applyProtection="1">
      <alignment horizontal="center"/>
      <protection hidden="1"/>
    </xf>
    <xf numFmtId="165" fontId="12" fillId="5" borderId="13" xfId="1" applyFont="1" applyFill="1" applyBorder="1" applyAlignment="1" applyProtection="1">
      <alignment horizontal="center"/>
      <protection hidden="1"/>
    </xf>
    <xf numFmtId="165" fontId="12" fillId="5" borderId="14" xfId="1" applyFont="1" applyFill="1" applyBorder="1" applyAlignment="1" applyProtection="1">
      <alignment horizontal="center"/>
      <protection hidden="1"/>
    </xf>
    <xf numFmtId="166" fontId="4" fillId="0" borderId="13" xfId="1" applyNumberFormat="1" applyFont="1" applyBorder="1" applyAlignment="1" applyProtection="1">
      <alignment horizontal="center"/>
      <protection hidden="1"/>
    </xf>
    <xf numFmtId="165" fontId="4" fillId="0" borderId="14" xfId="1" applyNumberFormat="1" applyFont="1" applyBorder="1" applyAlignment="1" applyProtection="1">
      <alignment horizontal="center"/>
      <protection hidden="1"/>
    </xf>
    <xf numFmtId="165" fontId="4" fillId="0" borderId="13" xfId="1" applyNumberFormat="1" applyFont="1" applyBorder="1" applyAlignment="1" applyProtection="1">
      <alignment horizontal="center"/>
      <protection hidden="1"/>
    </xf>
    <xf numFmtId="164" fontId="4" fillId="0" borderId="12" xfId="1" applyNumberFormat="1" applyFont="1" applyBorder="1" applyAlignment="1" applyProtection="1">
      <alignment horizontal="center"/>
      <protection hidden="1"/>
    </xf>
    <xf numFmtId="165" fontId="4" fillId="0" borderId="15" xfId="1" applyNumberFormat="1" applyFont="1" applyBorder="1" applyAlignment="1" applyProtection="1">
      <alignment horizontal="center"/>
      <protection hidden="1"/>
    </xf>
    <xf numFmtId="165" fontId="4" fillId="0" borderId="16" xfId="1" applyNumberFormat="1" applyFont="1" applyBorder="1" applyAlignment="1" applyProtection="1">
      <alignment horizontal="center"/>
      <protection hidden="1"/>
    </xf>
    <xf numFmtId="165" fontId="4" fillId="0" borderId="12" xfId="1" applyNumberFormat="1" applyFont="1" applyBorder="1" applyAlignment="1" applyProtection="1">
      <alignment horizontal="center"/>
      <protection hidden="1"/>
    </xf>
    <xf numFmtId="1" fontId="8" fillId="5" borderId="4" xfId="1" applyNumberFormat="1" applyFont="1" applyFill="1" applyBorder="1" applyAlignment="1" applyProtection="1">
      <alignment horizontal="center"/>
      <protection hidden="1"/>
    </xf>
    <xf numFmtId="166" fontId="4" fillId="0" borderId="5" xfId="1" applyNumberFormat="1" applyFont="1" applyBorder="1" applyProtection="1">
      <protection hidden="1"/>
    </xf>
    <xf numFmtId="165" fontId="4" fillId="0" borderId="3" xfId="1" applyNumberFormat="1" applyFont="1" applyBorder="1" applyProtection="1">
      <protection hidden="1"/>
    </xf>
    <xf numFmtId="165" fontId="4" fillId="0" borderId="5" xfId="1" applyNumberFormat="1" applyFont="1" applyBorder="1" applyProtection="1">
      <protection hidden="1"/>
    </xf>
    <xf numFmtId="165" fontId="4" fillId="0" borderId="4" xfId="1" applyNumberFormat="1" applyFont="1" applyBorder="1" applyProtection="1">
      <protection hidden="1"/>
    </xf>
    <xf numFmtId="165" fontId="4" fillId="0" borderId="6" xfId="1" applyNumberFormat="1" applyFont="1" applyBorder="1" applyProtection="1">
      <protection hidden="1"/>
    </xf>
    <xf numFmtId="165" fontId="4" fillId="0" borderId="1" xfId="1" applyNumberFormat="1" applyFont="1" applyBorder="1" applyProtection="1">
      <protection hidden="1"/>
    </xf>
    <xf numFmtId="165" fontId="4" fillId="0" borderId="9" xfId="1" applyNumberFormat="1" applyFont="1" applyBorder="1" applyProtection="1">
      <protection hidden="1"/>
    </xf>
    <xf numFmtId="1" fontId="8" fillId="5" borderId="9" xfId="1" applyNumberFormat="1" applyFont="1" applyFill="1" applyBorder="1" applyAlignment="1" applyProtection="1">
      <alignment horizontal="center"/>
      <protection hidden="1"/>
    </xf>
    <xf numFmtId="165" fontId="8" fillId="3" borderId="10" xfId="1" applyFont="1" applyFill="1" applyBorder="1" applyProtection="1">
      <protection locked="0" hidden="1"/>
    </xf>
    <xf numFmtId="167" fontId="8" fillId="3" borderId="8" xfId="1" applyNumberFormat="1" applyFont="1" applyFill="1" applyBorder="1" applyProtection="1">
      <protection locked="0" hidden="1"/>
    </xf>
    <xf numFmtId="166" fontId="4" fillId="0" borderId="10" xfId="1" applyNumberFormat="1" applyFont="1" applyBorder="1" applyProtection="1">
      <protection hidden="1"/>
    </xf>
    <xf numFmtId="165" fontId="4" fillId="0" borderId="8" xfId="1" applyNumberFormat="1" applyFont="1" applyBorder="1" applyProtection="1">
      <protection hidden="1"/>
    </xf>
    <xf numFmtId="165" fontId="4" fillId="0" borderId="10" xfId="1" applyNumberFormat="1" applyFont="1" applyBorder="1" applyProtection="1">
      <protection hidden="1"/>
    </xf>
    <xf numFmtId="165" fontId="4" fillId="0" borderId="11" xfId="1" applyNumberFormat="1" applyFont="1" applyBorder="1" applyProtection="1">
      <protection hidden="1"/>
    </xf>
    <xf numFmtId="165" fontId="4" fillId="0" borderId="7" xfId="1" applyNumberFormat="1" applyFont="1" applyBorder="1" applyProtection="1">
      <protection hidden="1"/>
    </xf>
    <xf numFmtId="165" fontId="8" fillId="0" borderId="8" xfId="0" applyNumberFormat="1" applyFont="1" applyFill="1" applyBorder="1" applyAlignment="1" applyProtection="1">
      <alignment horizontal="center"/>
      <protection hidden="1"/>
    </xf>
    <xf numFmtId="1" fontId="8" fillId="5" borderId="12" xfId="1" applyNumberFormat="1" applyFont="1" applyFill="1" applyBorder="1" applyAlignment="1" applyProtection="1">
      <alignment horizontal="center"/>
      <protection hidden="1"/>
    </xf>
    <xf numFmtId="166" fontId="4" fillId="0" borderId="13" xfId="1" applyNumberFormat="1" applyFont="1" applyBorder="1" applyProtection="1">
      <protection hidden="1"/>
    </xf>
    <xf numFmtId="165" fontId="4" fillId="0" borderId="14" xfId="1" applyNumberFormat="1" applyFont="1" applyBorder="1" applyProtection="1">
      <protection hidden="1"/>
    </xf>
    <xf numFmtId="165" fontId="4" fillId="0" borderId="13" xfId="1" applyNumberFormat="1" applyFont="1" applyBorder="1" applyProtection="1">
      <protection hidden="1"/>
    </xf>
    <xf numFmtId="165" fontId="4" fillId="0" borderId="12" xfId="1" applyNumberFormat="1" applyFont="1" applyBorder="1" applyProtection="1">
      <protection hidden="1"/>
    </xf>
    <xf numFmtId="165" fontId="4" fillId="0" borderId="15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9" xfId="1" applyNumberFormat="1" applyFont="1" applyBorder="1" applyProtection="1"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6" fontId="4" fillId="0" borderId="12" xfId="1" applyNumberFormat="1" applyFont="1" applyBorder="1" applyProtection="1">
      <protection hidden="1"/>
    </xf>
    <xf numFmtId="9" fontId="4" fillId="0" borderId="7" xfId="2" applyFont="1" applyBorder="1" applyAlignment="1" applyProtection="1">
      <alignment horizontal="center"/>
      <protection hidden="1"/>
    </xf>
    <xf numFmtId="165" fontId="15" fillId="0" borderId="7" xfId="1" applyFont="1" applyFill="1" applyBorder="1" applyProtection="1">
      <protection hidden="1"/>
    </xf>
    <xf numFmtId="168" fontId="4" fillId="0" borderId="8" xfId="2" applyNumberFormat="1" applyFont="1" applyFill="1" applyBorder="1" applyAlignment="1" applyProtection="1">
      <alignment horizontal="right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9" fontId="4" fillId="0" borderId="16" xfId="2" applyFont="1" applyBorder="1" applyAlignment="1" applyProtection="1">
      <alignment horizontal="center"/>
      <protection hidden="1"/>
    </xf>
    <xf numFmtId="164" fontId="4" fillId="0" borderId="0" xfId="1" applyNumberFormat="1" applyFont="1" applyFill="1" applyBorder="1" applyProtection="1">
      <protection hidden="1"/>
    </xf>
    <xf numFmtId="165" fontId="4" fillId="0" borderId="16" xfId="1" applyFont="1" applyFill="1" applyBorder="1" applyProtection="1">
      <protection hidden="1"/>
    </xf>
    <xf numFmtId="165" fontId="4" fillId="0" borderId="17" xfId="1" applyFont="1" applyFill="1" applyBorder="1" applyProtection="1">
      <protection hidden="1"/>
    </xf>
    <xf numFmtId="168" fontId="8" fillId="0" borderId="14" xfId="2" applyNumberFormat="1" applyFont="1" applyFill="1" applyBorder="1" applyAlignment="1" applyProtection="1">
      <alignment horizontal="right"/>
      <protection hidden="1"/>
    </xf>
    <xf numFmtId="165" fontId="4" fillId="0" borderId="9" xfId="1" applyFont="1" applyBorder="1" applyProtection="1">
      <protection hidden="1"/>
    </xf>
    <xf numFmtId="165" fontId="12" fillId="0" borderId="0" xfId="1" applyFont="1" applyProtection="1">
      <protection hidden="1"/>
    </xf>
    <xf numFmtId="165" fontId="15" fillId="0" borderId="1" xfId="1" applyFont="1" applyFill="1" applyBorder="1" applyProtection="1">
      <protection hidden="1"/>
    </xf>
    <xf numFmtId="1" fontId="4" fillId="0" borderId="3" xfId="1" applyNumberFormat="1" applyFont="1" applyFill="1" applyBorder="1" applyAlignment="1" applyProtection="1">
      <alignment horizontal="center"/>
      <protection hidden="1"/>
    </xf>
    <xf numFmtId="1" fontId="4" fillId="0" borderId="0" xfId="1" applyNumberFormat="1" applyFont="1" applyFill="1" applyBorder="1" applyAlignment="1" applyProtection="1">
      <alignment horizontal="right"/>
      <protection hidden="1"/>
    </xf>
    <xf numFmtId="1" fontId="4" fillId="0" borderId="8" xfId="1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Protection="1">
      <protection hidden="1"/>
    </xf>
    <xf numFmtId="165" fontId="4" fillId="0" borderId="8" xfId="0" applyNumberFormat="1" applyFont="1" applyFill="1" applyBorder="1" applyAlignment="1" applyProtection="1">
      <alignment horizontal="right"/>
      <protection hidden="1"/>
    </xf>
    <xf numFmtId="165" fontId="4" fillId="0" borderId="12" xfId="1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166" fontId="4" fillId="0" borderId="4" xfId="1" applyNumberFormat="1" applyFont="1" applyBorder="1" applyProtection="1">
      <protection hidden="1"/>
    </xf>
    <xf numFmtId="9" fontId="4" fillId="0" borderId="1" xfId="2" applyFont="1" applyBorder="1" applyAlignment="1" applyProtection="1">
      <alignment horizontal="center"/>
      <protection hidden="1"/>
    </xf>
    <xf numFmtId="165" fontId="4" fillId="0" borderId="11" xfId="1" applyNumberFormat="1" applyFont="1" applyFill="1" applyBorder="1" applyProtection="1">
      <protection hidden="1"/>
    </xf>
    <xf numFmtId="165" fontId="4" fillId="0" borderId="10" xfId="1" applyNumberFormat="1" applyFont="1" applyFill="1" applyBorder="1" applyProtection="1">
      <protection hidden="1"/>
    </xf>
    <xf numFmtId="165" fontId="4" fillId="0" borderId="7" xfId="1" applyNumberFormat="1" applyFont="1" applyFill="1" applyBorder="1" applyProtection="1">
      <protection hidden="1"/>
    </xf>
    <xf numFmtId="9" fontId="4" fillId="0" borderId="7" xfId="2" applyFont="1" applyFill="1" applyBorder="1" applyAlignment="1" applyProtection="1">
      <alignment horizontal="center"/>
      <protection hidden="1"/>
    </xf>
    <xf numFmtId="165" fontId="4" fillId="0" borderId="9" xfId="1" applyNumberFormat="1" applyFont="1" applyFill="1" applyBorder="1" applyProtection="1">
      <protection hidden="1"/>
    </xf>
    <xf numFmtId="164" fontId="4" fillId="0" borderId="8" xfId="1" applyNumberFormat="1" applyFont="1" applyFill="1" applyBorder="1" applyProtection="1">
      <protection hidden="1"/>
    </xf>
    <xf numFmtId="165" fontId="4" fillId="0" borderId="15" xfId="1" applyNumberFormat="1" applyFont="1" applyFill="1" applyBorder="1" applyProtection="1">
      <protection hidden="1"/>
    </xf>
    <xf numFmtId="165" fontId="4" fillId="0" borderId="13" xfId="1" applyNumberFormat="1" applyFont="1" applyFill="1" applyBorder="1" applyProtection="1">
      <protection hidden="1"/>
    </xf>
    <xf numFmtId="165" fontId="4" fillId="0" borderId="16" xfId="1" applyNumberFormat="1" applyFont="1" applyFill="1" applyBorder="1" applyProtection="1">
      <protection hidden="1"/>
    </xf>
    <xf numFmtId="9" fontId="4" fillId="0" borderId="16" xfId="2" applyFont="1" applyFill="1" applyBorder="1" applyAlignment="1" applyProtection="1">
      <alignment horizontal="center"/>
      <protection hidden="1"/>
    </xf>
    <xf numFmtId="165" fontId="4" fillId="0" borderId="12" xfId="1" applyNumberFormat="1" applyFont="1" applyFill="1" applyBorder="1" applyProtection="1">
      <protection hidden="1"/>
    </xf>
    <xf numFmtId="165" fontId="4" fillId="0" borderId="12" xfId="1" applyFont="1" applyBorder="1" applyAlignment="1" applyProtection="1">
      <alignment horizontal="center"/>
      <protection hidden="1"/>
    </xf>
    <xf numFmtId="0" fontId="4" fillId="0" borderId="16" xfId="0" applyFont="1" applyFill="1" applyBorder="1" applyProtection="1">
      <protection hidden="1"/>
    </xf>
    <xf numFmtId="0" fontId="3" fillId="0" borderId="17" xfId="0" applyFont="1" applyFill="1" applyBorder="1" applyAlignment="1" applyProtection="1">
      <alignment horizontal="right"/>
      <protection hidden="1"/>
    </xf>
    <xf numFmtId="165" fontId="4" fillId="0" borderId="5" xfId="1" applyNumberFormat="1" applyFont="1" applyFill="1" applyBorder="1" applyProtection="1">
      <protection hidden="1"/>
    </xf>
    <xf numFmtId="166" fontId="4" fillId="0" borderId="4" xfId="1" applyNumberFormat="1" applyFont="1" applyFill="1" applyBorder="1" applyProtection="1">
      <protection hidden="1"/>
    </xf>
    <xf numFmtId="165" fontId="4" fillId="0" borderId="1" xfId="1" applyNumberFormat="1" applyFont="1" applyFill="1" applyBorder="1" applyProtection="1">
      <protection hidden="1"/>
    </xf>
    <xf numFmtId="9" fontId="4" fillId="0" borderId="1" xfId="2" applyFont="1" applyFill="1" applyBorder="1" applyAlignment="1" applyProtection="1">
      <alignment horizontal="center"/>
      <protection hidden="1"/>
    </xf>
    <xf numFmtId="9" fontId="4" fillId="0" borderId="1" xfId="1" applyNumberFormat="1" applyFont="1" applyFill="1" applyBorder="1" applyAlignment="1" applyProtection="1">
      <alignment horizontal="center"/>
      <protection hidden="1"/>
    </xf>
    <xf numFmtId="165" fontId="4" fillId="0" borderId="4" xfId="1" applyNumberFormat="1" applyFont="1" applyFill="1" applyBorder="1" applyProtection="1">
      <protection hidden="1"/>
    </xf>
    <xf numFmtId="9" fontId="4" fillId="0" borderId="7" xfId="1" applyNumberFormat="1" applyFont="1" applyFill="1" applyBorder="1" applyAlignment="1" applyProtection="1">
      <alignment horizontal="center"/>
      <protection hidden="1"/>
    </xf>
    <xf numFmtId="165" fontId="4" fillId="6" borderId="10" xfId="1" applyNumberFormat="1" applyFont="1" applyFill="1" applyBorder="1" applyProtection="1">
      <protection hidden="1"/>
    </xf>
    <xf numFmtId="166" fontId="4" fillId="6" borderId="9" xfId="1" applyNumberFormat="1" applyFont="1" applyFill="1" applyBorder="1" applyProtection="1">
      <protection hidden="1"/>
    </xf>
    <xf numFmtId="9" fontId="4" fillId="0" borderId="16" xfId="1" applyNumberFormat="1" applyFont="1" applyFill="1" applyBorder="1" applyAlignment="1" applyProtection="1">
      <alignment horizontal="center"/>
      <protection hidden="1"/>
    </xf>
    <xf numFmtId="165" fontId="4" fillId="7" borderId="0" xfId="1" applyFont="1" applyFill="1" applyProtection="1">
      <protection hidden="1"/>
    </xf>
    <xf numFmtId="165" fontId="17" fillId="6" borderId="16" xfId="1" applyFont="1" applyFill="1" applyBorder="1" applyAlignment="1" applyProtection="1">
      <alignment horizontal="center" vertical="center" wrapText="1"/>
      <protection hidden="1"/>
    </xf>
    <xf numFmtId="165" fontId="17" fillId="6" borderId="14" xfId="1" applyFont="1" applyFill="1" applyBorder="1" applyAlignment="1" applyProtection="1">
      <alignment horizontal="center" vertical="top" wrapText="1"/>
      <protection hidden="1"/>
    </xf>
    <xf numFmtId="1" fontId="17" fillId="6" borderId="7" xfId="1" applyNumberFormat="1" applyFont="1" applyFill="1" applyBorder="1" applyAlignment="1" applyProtection="1">
      <alignment horizontal="center" vertical="top" wrapText="1"/>
      <protection hidden="1"/>
    </xf>
    <xf numFmtId="170" fontId="17" fillId="3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9" borderId="0" xfId="1" applyFont="1" applyFill="1" applyProtection="1">
      <protection hidden="1"/>
    </xf>
    <xf numFmtId="165" fontId="4" fillId="9" borderId="0" xfId="1" applyNumberFormat="1" applyFont="1" applyFill="1" applyProtection="1">
      <protection hidden="1"/>
    </xf>
    <xf numFmtId="1" fontId="17" fillId="9" borderId="16" xfId="1" applyNumberFormat="1" applyFont="1" applyFill="1" applyBorder="1" applyAlignment="1" applyProtection="1">
      <alignment horizontal="center" vertical="top" wrapText="1"/>
      <protection hidden="1"/>
    </xf>
    <xf numFmtId="170" fontId="17" fillId="9" borderId="14" xfId="1" applyNumberFormat="1" applyFont="1" applyFill="1" applyBorder="1" applyAlignment="1" applyProtection="1">
      <alignment horizontal="center" vertical="top" wrapText="1"/>
      <protection hidden="1"/>
    </xf>
    <xf numFmtId="165" fontId="1" fillId="9" borderId="0" xfId="1" applyFill="1" applyProtection="1">
      <protection hidden="1"/>
    </xf>
    <xf numFmtId="170" fontId="17" fillId="9" borderId="0" xfId="1" applyNumberFormat="1" applyFont="1" applyFill="1" applyBorder="1" applyAlignment="1" applyProtection="1">
      <alignment horizontal="center" vertical="top" wrapText="1"/>
      <protection hidden="1"/>
    </xf>
    <xf numFmtId="166" fontId="4" fillId="0" borderId="9" xfId="1" applyNumberFormat="1" applyFont="1" applyFill="1" applyBorder="1" applyProtection="1">
      <protection hidden="1"/>
    </xf>
    <xf numFmtId="165" fontId="4" fillId="0" borderId="0" xfId="1" applyNumberFormat="1" applyFont="1" applyAlignment="1" applyProtection="1">
      <alignment horizontal="center"/>
      <protection hidden="1"/>
    </xf>
    <xf numFmtId="165" fontId="9" fillId="10" borderId="0" xfId="1" applyFont="1" applyFill="1" applyProtection="1">
      <protection hidden="1"/>
    </xf>
    <xf numFmtId="165" fontId="4" fillId="10" borderId="0" xfId="1" applyFont="1" applyFill="1" applyProtection="1">
      <protection hidden="1"/>
    </xf>
    <xf numFmtId="165" fontId="1" fillId="0" borderId="0" xfId="1" applyFill="1" applyProtection="1">
      <protection hidden="1"/>
    </xf>
    <xf numFmtId="165" fontId="9" fillId="0" borderId="0" xfId="1" quotePrefix="1" applyFont="1" applyProtection="1">
      <protection hidden="1"/>
    </xf>
    <xf numFmtId="166" fontId="4" fillId="0" borderId="12" xfId="1" applyNumberFormat="1" applyFont="1" applyFill="1" applyBorder="1" applyProtection="1">
      <protection hidden="1"/>
    </xf>
    <xf numFmtId="165" fontId="19" fillId="0" borderId="0" xfId="1" applyFont="1" applyProtection="1">
      <protection hidden="1"/>
    </xf>
    <xf numFmtId="168" fontId="20" fillId="0" borderId="8" xfId="2" applyNumberFormat="1" applyFont="1" applyFill="1" applyBorder="1" applyAlignment="1" applyProtection="1">
      <alignment horizontal="right"/>
      <protection hidden="1"/>
    </xf>
    <xf numFmtId="165" fontId="9" fillId="0" borderId="0" xfId="1" applyNumberFormat="1" applyFont="1" applyProtection="1">
      <protection hidden="1"/>
    </xf>
    <xf numFmtId="165" fontId="9" fillId="0" borderId="0" xfId="1" applyFont="1" applyFill="1" applyAlignment="1" applyProtection="1">
      <alignment horizontal="left" vertical="top" wrapText="1"/>
      <protection hidden="1"/>
    </xf>
    <xf numFmtId="165" fontId="8" fillId="0" borderId="17" xfId="0" quotePrefix="1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65" fontId="4" fillId="0" borderId="8" xfId="0" applyNumberFormat="1" applyFont="1" applyFill="1" applyBorder="1" applyAlignment="1" applyProtection="1">
      <alignment horizontal="center"/>
      <protection hidden="1"/>
    </xf>
    <xf numFmtId="165" fontId="9" fillId="0" borderId="0" xfId="1" applyFont="1" applyAlignment="1" applyProtection="1">
      <alignment horizontal="right"/>
      <protection hidden="1"/>
    </xf>
    <xf numFmtId="171" fontId="1" fillId="0" borderId="0" xfId="1" applyNumberFormat="1" applyProtection="1">
      <protection hidden="1"/>
    </xf>
    <xf numFmtId="165" fontId="8" fillId="0" borderId="14" xfId="0" quotePrefix="1" applyNumberFormat="1" applyFont="1" applyFill="1" applyBorder="1" applyAlignment="1" applyProtection="1">
      <alignment horizontal="center"/>
      <protection hidden="1"/>
    </xf>
    <xf numFmtId="165" fontId="9" fillId="0" borderId="7" xfId="1" applyFont="1" applyFill="1" applyBorder="1" applyProtection="1">
      <protection hidden="1"/>
    </xf>
    <xf numFmtId="0" fontId="0" fillId="0" borderId="0" xfId="0" applyAlignment="1">
      <alignment horizontal="left" wrapText="1"/>
    </xf>
    <xf numFmtId="1" fontId="8" fillId="12" borderId="0" xfId="1" applyNumberFormat="1" applyFont="1" applyFill="1" applyAlignment="1" applyProtection="1">
      <alignment horizontal="center"/>
      <protection locked="0" hidden="1"/>
    </xf>
    <xf numFmtId="165" fontId="8" fillId="12" borderId="8" xfId="0" applyNumberFormat="1" applyFont="1" applyFill="1" applyBorder="1" applyAlignment="1" applyProtection="1">
      <alignment horizontal="center"/>
      <protection locked="0" hidden="1"/>
    </xf>
    <xf numFmtId="1" fontId="8" fillId="11" borderId="0" xfId="1" applyNumberFormat="1" applyFont="1" applyFill="1" applyAlignment="1" applyProtection="1">
      <alignment horizontal="center"/>
      <protection locked="0" hidden="1"/>
    </xf>
    <xf numFmtId="165" fontId="8" fillId="12" borderId="5" xfId="1" applyFont="1" applyFill="1" applyBorder="1" applyProtection="1">
      <protection locked="0" hidden="1"/>
    </xf>
    <xf numFmtId="167" fontId="8" fillId="12" borderId="3" xfId="1" applyNumberFormat="1" applyFont="1" applyFill="1" applyBorder="1" applyProtection="1">
      <protection locked="0" hidden="1"/>
    </xf>
    <xf numFmtId="165" fontId="8" fillId="12" borderId="10" xfId="1" applyFont="1" applyFill="1" applyBorder="1" applyProtection="1">
      <protection locked="0" hidden="1"/>
    </xf>
    <xf numFmtId="167" fontId="8" fillId="12" borderId="8" xfId="1" applyNumberFormat="1" applyFont="1" applyFill="1" applyBorder="1" applyProtection="1">
      <protection locked="0" hidden="1"/>
    </xf>
    <xf numFmtId="165" fontId="8" fillId="12" borderId="13" xfId="1" applyFont="1" applyFill="1" applyBorder="1" applyProtection="1">
      <protection locked="0" hidden="1"/>
    </xf>
    <xf numFmtId="167" fontId="8" fillId="12" borderId="14" xfId="1" applyNumberFormat="1" applyFont="1" applyFill="1" applyBorder="1" applyProtection="1">
      <protection locked="0" hidden="1"/>
    </xf>
    <xf numFmtId="165" fontId="9" fillId="10" borderId="1" xfId="1" applyFont="1" applyFill="1" applyBorder="1" applyProtection="1">
      <protection hidden="1"/>
    </xf>
    <xf numFmtId="0" fontId="3" fillId="10" borderId="2" xfId="0" applyFont="1" applyFill="1" applyBorder="1" applyAlignment="1" applyProtection="1">
      <alignment horizontal="right"/>
      <protection hidden="1"/>
    </xf>
    <xf numFmtId="165" fontId="12" fillId="10" borderId="2" xfId="0" applyNumberFormat="1" applyFont="1" applyFill="1" applyBorder="1" applyAlignment="1" applyProtection="1">
      <alignment horizontal="left"/>
      <protection hidden="1"/>
    </xf>
    <xf numFmtId="165" fontId="8" fillId="10" borderId="3" xfId="0" applyNumberFormat="1" applyFont="1" applyFill="1" applyBorder="1" applyAlignment="1" applyProtection="1">
      <alignment horizontal="center"/>
      <protection hidden="1"/>
    </xf>
    <xf numFmtId="165" fontId="4" fillId="10" borderId="7" xfId="1" applyFont="1" applyFill="1" applyBorder="1" applyProtection="1">
      <protection hidden="1"/>
    </xf>
    <xf numFmtId="165" fontId="4" fillId="10" borderId="0" xfId="1" applyFont="1" applyFill="1" applyBorder="1" applyProtection="1">
      <protection hidden="1"/>
    </xf>
    <xf numFmtId="169" fontId="4" fillId="10" borderId="8" xfId="1" applyNumberFormat="1" applyFont="1" applyFill="1" applyBorder="1" applyProtection="1">
      <protection hidden="1"/>
    </xf>
    <xf numFmtId="165" fontId="4" fillId="10" borderId="16" xfId="1" applyFont="1" applyFill="1" applyBorder="1" applyProtection="1">
      <protection hidden="1"/>
    </xf>
    <xf numFmtId="165" fontId="8" fillId="10" borderId="17" xfId="1" applyFont="1" applyFill="1" applyBorder="1" applyProtection="1">
      <protection hidden="1"/>
    </xf>
    <xf numFmtId="169" fontId="8" fillId="10" borderId="14" xfId="1" applyNumberFormat="1" applyFont="1" applyFill="1" applyBorder="1" applyProtection="1">
      <protection hidden="1"/>
    </xf>
    <xf numFmtId="170" fontId="17" fillId="12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11" borderId="10" xfId="1" applyNumberFormat="1" applyFont="1" applyFill="1" applyBorder="1" applyProtection="1">
      <protection hidden="1"/>
    </xf>
    <xf numFmtId="166" fontId="4" fillId="11" borderId="9" xfId="1" applyNumberFormat="1" applyFont="1" applyFill="1" applyBorder="1" applyProtection="1">
      <protection hidden="1"/>
    </xf>
    <xf numFmtId="165" fontId="5" fillId="0" borderId="0" xfId="1" applyFont="1" applyFill="1" applyAlignment="1" applyProtection="1">
      <alignment horizontal="center" vertical="center"/>
      <protection hidden="1"/>
    </xf>
    <xf numFmtId="165" fontId="7" fillId="0" borderId="0" xfId="1" applyFont="1" applyFill="1" applyAlignment="1" applyProtection="1">
      <alignment horizontal="center"/>
      <protection hidden="1"/>
    </xf>
    <xf numFmtId="165" fontId="21" fillId="11" borderId="7" xfId="1" applyFont="1" applyFill="1" applyBorder="1" applyAlignment="1" applyProtection="1">
      <alignment horizontal="left" vertical="top" wrapText="1"/>
      <protection hidden="1"/>
    </xf>
    <xf numFmtId="0" fontId="22" fillId="11" borderId="0" xfId="0" applyFont="1" applyFill="1" applyBorder="1" applyAlignment="1">
      <alignment horizontal="left" vertical="top" wrapText="1"/>
    </xf>
    <xf numFmtId="0" fontId="22" fillId="11" borderId="8" xfId="0" applyFont="1" applyFill="1" applyBorder="1" applyAlignment="1">
      <alignment horizontal="left" vertical="top" wrapText="1"/>
    </xf>
    <xf numFmtId="0" fontId="22" fillId="11" borderId="7" xfId="0" applyFont="1" applyFill="1" applyBorder="1" applyAlignment="1">
      <alignment horizontal="left" vertical="top" wrapText="1"/>
    </xf>
    <xf numFmtId="0" fontId="22" fillId="11" borderId="16" xfId="0" applyFont="1" applyFill="1" applyBorder="1" applyAlignment="1">
      <alignment horizontal="left" vertical="top" wrapText="1"/>
    </xf>
    <xf numFmtId="0" fontId="22" fillId="11" borderId="17" xfId="0" applyFont="1" applyFill="1" applyBorder="1" applyAlignment="1">
      <alignment horizontal="left" vertical="top" wrapText="1"/>
    </xf>
    <xf numFmtId="0" fontId="22" fillId="11" borderId="14" xfId="0" applyFont="1" applyFill="1" applyBorder="1" applyAlignment="1">
      <alignment horizontal="left" vertical="top" wrapText="1"/>
    </xf>
    <xf numFmtId="165" fontId="16" fillId="0" borderId="2" xfId="1" applyFont="1" applyBorder="1" applyAlignment="1" applyProtection="1">
      <alignment horizontal="left" vertical="top" wrapText="1"/>
      <protection hidden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8" fillId="6" borderId="1" xfId="1" applyFont="1" applyFill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165" fontId="17" fillId="6" borderId="1" xfId="1" applyFont="1" applyFill="1" applyBorder="1" applyAlignment="1" applyProtection="1">
      <alignment horizontal="center" vertical="center" wrapText="1"/>
      <protection hidden="1"/>
    </xf>
    <xf numFmtId="165" fontId="17" fillId="6" borderId="3" xfId="1" applyFont="1" applyFill="1" applyBorder="1" applyAlignment="1" applyProtection="1">
      <alignment horizontal="center" vertical="center" wrapText="1"/>
      <protection hidden="1"/>
    </xf>
    <xf numFmtId="165" fontId="17" fillId="6" borderId="7" xfId="1" applyFont="1" applyFill="1" applyBorder="1" applyAlignment="1" applyProtection="1">
      <alignment horizontal="center" vertical="center" wrapText="1"/>
      <protection hidden="1"/>
    </xf>
    <xf numFmtId="165" fontId="17" fillId="6" borderId="8" xfId="1" applyFont="1" applyFill="1" applyBorder="1" applyAlignment="1" applyProtection="1">
      <alignment horizontal="center" vertical="center" wrapText="1"/>
      <protection hidden="1"/>
    </xf>
    <xf numFmtId="165" fontId="17" fillId="6" borderId="16" xfId="1" applyFont="1" applyFill="1" applyBorder="1" applyAlignment="1" applyProtection="1">
      <alignment horizontal="center" vertical="center" wrapText="1"/>
      <protection hidden="1"/>
    </xf>
    <xf numFmtId="165" fontId="17" fillId="6" borderId="14" xfId="1" applyFont="1" applyFill="1" applyBorder="1" applyAlignment="1" applyProtection="1">
      <alignment horizontal="center" vertical="center" wrapText="1"/>
      <protection hidden="1"/>
    </xf>
    <xf numFmtId="165" fontId="9" fillId="0" borderId="0" xfId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165" fontId="4" fillId="0" borderId="4" xfId="1" applyFont="1" applyBorder="1" applyAlignment="1" applyProtection="1">
      <alignment horizontal="center" wrapText="1"/>
      <protection hidden="1"/>
    </xf>
    <xf numFmtId="165" fontId="4" fillId="0" borderId="9" xfId="1" applyFont="1" applyBorder="1" applyAlignment="1" applyProtection="1">
      <alignment horizontal="center" wrapText="1"/>
      <protection hidden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110"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9"/>
  <sheetViews>
    <sheetView showGridLines="0" tabSelected="1" zoomScale="115" zoomScaleNormal="115" workbookViewId="0">
      <selection activeCell="D11" sqref="D11"/>
    </sheetView>
  </sheetViews>
  <sheetFormatPr defaultColWidth="9.453125" defaultRowHeight="13" x14ac:dyDescent="0.3"/>
  <cols>
    <col min="1" max="1" width="12.54296875" style="4" customWidth="1"/>
    <col min="2" max="2" width="17.54296875" style="4" customWidth="1"/>
    <col min="3" max="3" width="12.81640625" style="4" customWidth="1"/>
    <col min="4" max="4" width="13.54296875" style="4" customWidth="1"/>
    <col min="5" max="5" width="1.54296875" style="4" customWidth="1"/>
    <col min="6" max="6" width="6.54296875" style="4" customWidth="1"/>
    <col min="7" max="7" width="12.54296875" style="4" customWidth="1"/>
    <col min="8" max="9" width="11.54296875" style="4" customWidth="1"/>
    <col min="10" max="10" width="12.54296875" style="4" customWidth="1"/>
    <col min="11" max="11" width="11" style="4" customWidth="1"/>
    <col min="12" max="12" width="10.453125" style="4" bestFit="1" customWidth="1"/>
    <col min="13" max="13" width="9.08984375" style="4" hidden="1" customWidth="1"/>
    <col min="14" max="14" width="9.36328125" style="4" hidden="1" customWidth="1"/>
    <col min="15" max="15" width="31.54296875" style="4" hidden="1" customWidth="1"/>
    <col min="16" max="18" width="10.36328125" style="4" hidden="1" customWidth="1"/>
    <col min="19" max="19" width="7.90625" style="4" hidden="1" customWidth="1"/>
    <col min="20" max="20" width="8.81640625" style="4" hidden="1" customWidth="1"/>
    <col min="21" max="21" width="10.90625" style="4" hidden="1" customWidth="1"/>
    <col min="22" max="22" width="8" style="4" hidden="1" customWidth="1"/>
    <col min="23" max="23" width="9" style="4" hidden="1" customWidth="1"/>
    <col min="24" max="24" width="151.90625" style="4" hidden="1" customWidth="1"/>
    <col min="25" max="26" width="7.26953125" style="4" hidden="1" customWidth="1"/>
    <col min="27" max="27" width="21.1796875" style="4" hidden="1" customWidth="1"/>
    <col min="28" max="16384" width="9.453125" style="4"/>
  </cols>
  <sheetData>
    <row r="1" spans="1:27" ht="17.5" x14ac:dyDescent="0.3">
      <c r="A1" s="1"/>
      <c r="B1" s="184" t="str">
        <f>"Orientační výpočet výše starobního důchodu při jeho přiznání v letech 2004 až  "&amp;max</f>
        <v>Orientační výpočet výše starobního důchodu při jeho přiznání v letech 2004 až  2025</v>
      </c>
      <c r="C1" s="184"/>
      <c r="D1" s="184"/>
      <c r="E1" s="184"/>
      <c r="F1" s="184"/>
      <c r="G1" s="184"/>
      <c r="H1" s="184"/>
      <c r="I1" s="184"/>
      <c r="J1" s="184"/>
      <c r="K1" s="184"/>
      <c r="L1" s="2"/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</row>
    <row r="2" spans="1:27" ht="14" x14ac:dyDescent="0.3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 t="s">
        <v>2</v>
      </c>
      <c r="Y2" s="5"/>
    </row>
    <row r="3" spans="1:27" ht="14" x14ac:dyDescent="0.3">
      <c r="A3" s="6"/>
      <c r="B3" s="6"/>
      <c r="C3" s="7" t="s">
        <v>3</v>
      </c>
      <c r="D3" s="162">
        <v>2025</v>
      </c>
      <c r="F3" s="8"/>
      <c r="H3" s="157" t="s">
        <v>95</v>
      </c>
      <c r="I3" s="164"/>
      <c r="J3" s="9" t="s">
        <v>4</v>
      </c>
      <c r="K3" s="10">
        <f>IF(OR(RP&lt;2011,AND(RP=2011,LEFT(TRIM(J3),1)="A")),0,1)</f>
        <v>1</v>
      </c>
      <c r="L3" s="2"/>
      <c r="M3" s="144" t="s">
        <v>89</v>
      </c>
      <c r="N3" s="12">
        <v>2025</v>
      </c>
      <c r="O3" s="2" t="s">
        <v>88</v>
      </c>
      <c r="P3" s="2"/>
      <c r="Q3" s="2"/>
      <c r="R3" s="11">
        <v>2025</v>
      </c>
      <c r="S3" s="2"/>
      <c r="T3" s="2"/>
      <c r="U3" s="2"/>
      <c r="V3" s="5"/>
      <c r="W3" s="2"/>
      <c r="X3" s="13">
        <f>1+IF(AND(D18&gt;0,D19&gt;0),3,IF(AND(SUM($D$10:$D$11)&gt;0,SUM($D$18:$D$19)&gt;0),2,IF(D7&lt;1,1,0)))</f>
        <v>2</v>
      </c>
      <c r="Y3" s="5">
        <v>1</v>
      </c>
      <c r="Z3" s="4">
        <f>IF(RP&lt;2002,1,IF(RP&lt;2010,2,IF(RP&lt;2012,3,IF(RP&lt;2024,IF(AND(RP=2023,MP&gt;=10),5,4),5))))</f>
        <v>5</v>
      </c>
    </row>
    <row r="4" spans="1:27" ht="14.5" thickBot="1" x14ac:dyDescent="0.35">
      <c r="A4" s="14"/>
      <c r="B4" s="14"/>
      <c r="C4" s="14"/>
      <c r="D4" s="148" t="str">
        <f>IF(RP=2011,"důchod přiznán před 30. září 2011 ?   ano / ne",IF(RP&gt;max,"Pro tento rok zde nelze výši důchodu spočítat",IF(RP&gt;maxB,"pro tento rok podle odhadovaného růstu mezd","")))&amp;IF(RP&lt;2004,"Pro tento rok je výpočet platný s omezením  *)","")</f>
        <v/>
      </c>
      <c r="E4" s="148"/>
      <c r="F4" s="148"/>
      <c r="G4" s="148"/>
      <c r="H4" s="148"/>
      <c r="I4" s="14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5"/>
      <c r="Y4" s="5">
        <v>2</v>
      </c>
    </row>
    <row r="5" spans="1:27" ht="14" x14ac:dyDescent="0.3">
      <c r="A5" s="16" t="s">
        <v>5</v>
      </c>
      <c r="B5" s="17"/>
      <c r="C5" s="17"/>
      <c r="D5" s="18"/>
      <c r="E5" s="19"/>
      <c r="F5" s="20" t="s">
        <v>6</v>
      </c>
      <c r="G5" s="21" t="s">
        <v>7</v>
      </c>
      <c r="H5" s="22" t="s">
        <v>8</v>
      </c>
      <c r="I5" s="23" t="s">
        <v>9</v>
      </c>
      <c r="J5" s="24" t="s">
        <v>10</v>
      </c>
      <c r="K5" s="25" t="s">
        <v>11</v>
      </c>
      <c r="L5" s="26" t="s">
        <v>12</v>
      </c>
      <c r="M5" s="27" t="s">
        <v>13</v>
      </c>
      <c r="N5" s="25" t="s">
        <v>13</v>
      </c>
      <c r="O5" s="25" t="s">
        <v>13</v>
      </c>
      <c r="P5" s="25" t="s">
        <v>14</v>
      </c>
      <c r="Q5" s="25" t="s">
        <v>14</v>
      </c>
      <c r="R5" s="25" t="s">
        <v>14</v>
      </c>
      <c r="S5" s="28" t="s">
        <v>15</v>
      </c>
      <c r="T5" s="26" t="s">
        <v>16</v>
      </c>
      <c r="U5" s="29" t="s">
        <v>17</v>
      </c>
      <c r="V5" s="208" t="s">
        <v>18</v>
      </c>
      <c r="W5" s="29" t="s">
        <v>94</v>
      </c>
      <c r="X5" s="30" t="s">
        <v>19</v>
      </c>
      <c r="Y5" s="5">
        <v>3</v>
      </c>
    </row>
    <row r="6" spans="1:27" ht="14" x14ac:dyDescent="0.3">
      <c r="A6" s="31" t="s">
        <v>20</v>
      </c>
      <c r="B6" s="32"/>
      <c r="C6" s="32"/>
      <c r="D6" s="33"/>
      <c r="E6" s="19"/>
      <c r="F6" s="34" t="s">
        <v>21</v>
      </c>
      <c r="G6" s="35" t="s">
        <v>22</v>
      </c>
      <c r="H6" s="36" t="s">
        <v>23</v>
      </c>
      <c r="I6" s="37" t="s">
        <v>24</v>
      </c>
      <c r="J6" s="38" t="s">
        <v>25</v>
      </c>
      <c r="K6" s="39" t="s">
        <v>25</v>
      </c>
      <c r="L6" s="40" t="s">
        <v>26</v>
      </c>
      <c r="M6" s="41" t="s">
        <v>27</v>
      </c>
      <c r="N6" s="39" t="s">
        <v>27</v>
      </c>
      <c r="O6" s="39" t="s">
        <v>27</v>
      </c>
      <c r="P6" s="39" t="s">
        <v>28</v>
      </c>
      <c r="Q6" s="39" t="s">
        <v>28</v>
      </c>
      <c r="R6" s="39" t="s">
        <v>28</v>
      </c>
      <c r="S6" s="42" t="s">
        <v>29</v>
      </c>
      <c r="T6" s="40" t="s">
        <v>30</v>
      </c>
      <c r="U6" s="43" t="s">
        <v>25</v>
      </c>
      <c r="V6" s="209"/>
      <c r="W6" s="43"/>
      <c r="X6" s="30" t="s">
        <v>31</v>
      </c>
      <c r="Y6" s="5">
        <v>4</v>
      </c>
      <c r="Z6" s="158">
        <f>0.006*C27</f>
        <v>0</v>
      </c>
      <c r="AA6" s="4" t="s">
        <v>96</v>
      </c>
    </row>
    <row r="7" spans="1:27" ht="14.5" thickBot="1" x14ac:dyDescent="0.35">
      <c r="A7" s="44"/>
      <c r="B7" s="45"/>
      <c r="C7" s="46" t="s">
        <v>32</v>
      </c>
      <c r="D7" s="163"/>
      <c r="E7" s="19"/>
      <c r="F7" s="48"/>
      <c r="G7" s="49" t="s">
        <v>33</v>
      </c>
      <c r="H7" s="50" t="s">
        <v>34</v>
      </c>
      <c r="I7" s="51" t="s">
        <v>35</v>
      </c>
      <c r="J7" s="52" t="s">
        <v>22</v>
      </c>
      <c r="K7" s="53" t="s">
        <v>22</v>
      </c>
      <c r="L7" s="54">
        <f>VLOOKUP(RP-2,MTC,6)*VLOOKUP(RP-2,MTC,7)</f>
        <v>46556.275600000001</v>
      </c>
      <c r="M7" s="55" t="s">
        <v>36</v>
      </c>
      <c r="N7" s="53" t="s">
        <v>37</v>
      </c>
      <c r="O7" s="53" t="s">
        <v>38</v>
      </c>
      <c r="P7" s="53" t="s">
        <v>39</v>
      </c>
      <c r="Q7" s="53" t="s">
        <v>40</v>
      </c>
      <c r="R7" s="53" t="s">
        <v>41</v>
      </c>
      <c r="S7" s="56"/>
      <c r="T7" s="57"/>
      <c r="U7" s="57" t="s">
        <v>22</v>
      </c>
      <c r="V7" s="57" t="s">
        <v>42</v>
      </c>
      <c r="W7" s="57"/>
      <c r="X7" s="30" t="s">
        <v>43</v>
      </c>
      <c r="Y7" s="5">
        <v>5</v>
      </c>
      <c r="Z7" s="158">
        <f>0.009*C27</f>
        <v>0</v>
      </c>
      <c r="AA7" s="4" t="s">
        <v>97</v>
      </c>
    </row>
    <row r="8" spans="1:27" ht="14" x14ac:dyDescent="0.3">
      <c r="A8" s="44" t="s">
        <v>44</v>
      </c>
      <c r="B8" s="45"/>
      <c r="C8" s="45"/>
      <c r="D8" s="33"/>
      <c r="E8" s="19"/>
      <c r="F8" s="58">
        <v>1986</v>
      </c>
      <c r="G8" s="165"/>
      <c r="H8" s="166"/>
      <c r="I8" s="59">
        <f t="shared" ref="I8:I48" si="0">IF(F8=RP-1,1,ROUND($L$7/K8,4))</f>
        <v>15.7072</v>
      </c>
      <c r="J8" s="60">
        <f>CEILING($G8*I8,1)</f>
        <v>0</v>
      </c>
      <c r="K8" s="61">
        <v>2964</v>
      </c>
      <c r="L8" s="62"/>
      <c r="M8" s="63"/>
      <c r="N8" s="61"/>
      <c r="O8" s="64"/>
      <c r="P8" s="64"/>
      <c r="Q8" s="64"/>
      <c r="R8" s="64"/>
      <c r="S8" s="64"/>
      <c r="T8" s="62"/>
      <c r="U8" s="65"/>
      <c r="V8" s="62"/>
      <c r="W8" s="65"/>
      <c r="X8" s="5"/>
      <c r="Y8" s="5">
        <v>6</v>
      </c>
      <c r="Z8" s="158">
        <f>0.009*MIN(8,C27)+0.015*MAX(0,C27-8)</f>
        <v>0</v>
      </c>
      <c r="AA8" s="4" t="s">
        <v>97</v>
      </c>
    </row>
    <row r="9" spans="1:27" ht="14" x14ac:dyDescent="0.3">
      <c r="A9" s="44" t="s">
        <v>45</v>
      </c>
      <c r="B9" s="45"/>
      <c r="C9" s="45"/>
      <c r="D9" s="33"/>
      <c r="E9" s="19"/>
      <c r="F9" s="66">
        <f t="shared" ref="F9:F51" si="1">F8+1</f>
        <v>1987</v>
      </c>
      <c r="G9" s="167"/>
      <c r="H9" s="168"/>
      <c r="I9" s="69">
        <f t="shared" si="0"/>
        <v>15.385400000000001</v>
      </c>
      <c r="J9" s="70">
        <f t="shared" ref="J9:J29" si="2">CEILING($G9*I9,1)</f>
        <v>0</v>
      </c>
      <c r="K9" s="71">
        <v>3026</v>
      </c>
      <c r="L9" s="65"/>
      <c r="M9" s="72"/>
      <c r="N9" s="71"/>
      <c r="O9" s="73"/>
      <c r="P9" s="73"/>
      <c r="Q9" s="73"/>
      <c r="R9" s="73"/>
      <c r="S9" s="73"/>
      <c r="T9" s="65"/>
      <c r="U9" s="65"/>
      <c r="V9" s="65"/>
      <c r="W9" s="65"/>
      <c r="X9" s="5" t="s">
        <v>46</v>
      </c>
      <c r="Y9" s="5">
        <v>7</v>
      </c>
      <c r="Z9" s="158">
        <f>0.009*MIN(4,C27)+0.012*MAX(0,C27-4)+0.003*MAX(0,C27-8)</f>
        <v>0</v>
      </c>
      <c r="AA9" s="4" t="s">
        <v>99</v>
      </c>
    </row>
    <row r="10" spans="1:27" ht="14" x14ac:dyDescent="0.3">
      <c r="A10" s="44" t="s">
        <v>47</v>
      </c>
      <c r="B10" s="45"/>
      <c r="C10" s="46" t="s">
        <v>48</v>
      </c>
      <c r="D10" s="163"/>
      <c r="E10" s="19"/>
      <c r="F10" s="66">
        <f t="shared" si="1"/>
        <v>1988</v>
      </c>
      <c r="G10" s="167"/>
      <c r="H10" s="168"/>
      <c r="I10" s="69">
        <f t="shared" si="0"/>
        <v>15.042400000000001</v>
      </c>
      <c r="J10" s="70">
        <f t="shared" si="2"/>
        <v>0</v>
      </c>
      <c r="K10" s="71">
        <v>3095</v>
      </c>
      <c r="L10" s="65"/>
      <c r="M10" s="72"/>
      <c r="N10" s="71"/>
      <c r="O10" s="73"/>
      <c r="P10" s="73"/>
      <c r="Q10" s="73"/>
      <c r="R10" s="73"/>
      <c r="S10" s="73"/>
      <c r="T10" s="65"/>
      <c r="U10" s="65"/>
      <c r="V10" s="65"/>
      <c r="W10" s="65"/>
      <c r="X10" s="5" t="s">
        <v>49</v>
      </c>
      <c r="Y10" s="5">
        <v>8</v>
      </c>
      <c r="Z10" s="158">
        <f>D18*0.015</f>
        <v>0</v>
      </c>
      <c r="AA10" s="4" t="s">
        <v>98</v>
      </c>
    </row>
    <row r="11" spans="1:27" ht="14" x14ac:dyDescent="0.3">
      <c r="A11" s="44" t="s">
        <v>50</v>
      </c>
      <c r="B11" s="45"/>
      <c r="C11" s="46" t="s">
        <v>51</v>
      </c>
      <c r="D11" s="163"/>
      <c r="E11" s="19"/>
      <c r="F11" s="66">
        <f t="shared" si="1"/>
        <v>1989</v>
      </c>
      <c r="G11" s="167"/>
      <c r="H11" s="168"/>
      <c r="I11" s="69">
        <f t="shared" si="0"/>
        <v>14.686500000000001</v>
      </c>
      <c r="J11" s="70">
        <f t="shared" si="2"/>
        <v>0</v>
      </c>
      <c r="K11" s="71">
        <v>3170</v>
      </c>
      <c r="L11" s="65"/>
      <c r="M11" s="72"/>
      <c r="N11" s="71"/>
      <c r="O11" s="73"/>
      <c r="P11" s="73"/>
      <c r="Q11" s="73"/>
      <c r="R11" s="73"/>
      <c r="S11" s="73"/>
      <c r="T11" s="65"/>
      <c r="U11" s="65"/>
      <c r="V11" s="65"/>
      <c r="W11" s="65"/>
      <c r="X11" s="5" t="s">
        <v>52</v>
      </c>
      <c r="Y11" s="5">
        <v>9</v>
      </c>
    </row>
    <row r="12" spans="1:27" ht="14.5" thickBot="1" x14ac:dyDescent="0.35">
      <c r="A12" s="44" t="str">
        <f>IF(RP&gt;2009," při pobírání 1/2 důchodu - počet pololetí (ukončených 180 dnů","")</f>
        <v xml:space="preserve"> při pobírání 1/2 důchodu - počet pololetí (ukončených 180 dnů</v>
      </c>
      <c r="B12" s="45"/>
      <c r="C12" s="46"/>
      <c r="D12" s="74"/>
      <c r="E12" s="19"/>
      <c r="F12" s="75">
        <f t="shared" si="1"/>
        <v>1990</v>
      </c>
      <c r="G12" s="169"/>
      <c r="H12" s="170"/>
      <c r="I12" s="76">
        <f t="shared" si="0"/>
        <v>14.168100000000001</v>
      </c>
      <c r="J12" s="77">
        <f t="shared" si="2"/>
        <v>0</v>
      </c>
      <c r="K12" s="78">
        <v>3286</v>
      </c>
      <c r="L12" s="79"/>
      <c r="M12" s="80"/>
      <c r="N12" s="78"/>
      <c r="O12" s="81"/>
      <c r="P12" s="81"/>
      <c r="Q12" s="81"/>
      <c r="R12" s="81"/>
      <c r="S12" s="81"/>
      <c r="T12" s="79"/>
      <c r="U12" s="65"/>
      <c r="V12" s="79"/>
      <c r="W12" s="65"/>
      <c r="X12" s="5" t="s">
        <v>53</v>
      </c>
      <c r="Y12" s="5">
        <v>10</v>
      </c>
    </row>
    <row r="13" spans="1:27" ht="14" x14ac:dyDescent="0.3">
      <c r="A13" s="44" t="str">
        <f>IF(RP&gt;2009,"    po 1.1.2010)","")</f>
        <v xml:space="preserve">    po 1.1.2010)</v>
      </c>
      <c r="B13" s="45"/>
      <c r="C13" s="46" t="str">
        <f>IF(RP&gt;2009,"zvýšení sazby o 1,5%","")</f>
        <v>zvýšení sazby o 1,5%</v>
      </c>
      <c r="D13" s="163"/>
      <c r="E13" s="19"/>
      <c r="F13" s="66">
        <f t="shared" si="1"/>
        <v>1991</v>
      </c>
      <c r="G13" s="167"/>
      <c r="H13" s="168"/>
      <c r="I13" s="69">
        <f t="shared" si="0"/>
        <v>12.2775</v>
      </c>
      <c r="J13" s="70">
        <f t="shared" si="2"/>
        <v>0</v>
      </c>
      <c r="K13" s="71">
        <v>3792</v>
      </c>
      <c r="L13" s="65"/>
      <c r="M13" s="7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5" t="s">
        <v>54</v>
      </c>
      <c r="Y13" s="5">
        <v>11</v>
      </c>
    </row>
    <row r="14" spans="1:27" ht="14" x14ac:dyDescent="0.3">
      <c r="A14" s="44" t="str">
        <f>IF(RP&gt;2009," při pobírání plného důchodu - počet roků (ukončených 360 dnů","")</f>
        <v xml:space="preserve"> při pobírání plného důchodu - počet roků (ukončených 360 dnů</v>
      </c>
      <c r="B14" s="45"/>
      <c r="C14" s="46"/>
      <c r="D14" s="74"/>
      <c r="E14" s="19"/>
      <c r="F14" s="66">
        <f t="shared" si="1"/>
        <v>1992</v>
      </c>
      <c r="G14" s="167"/>
      <c r="H14" s="168"/>
      <c r="I14" s="69">
        <f t="shared" si="0"/>
        <v>10.025</v>
      </c>
      <c r="J14" s="70">
        <f t="shared" si="2"/>
        <v>0</v>
      </c>
      <c r="K14" s="71">
        <v>4644</v>
      </c>
      <c r="L14" s="65"/>
      <c r="M14" s="72"/>
      <c r="N14" s="71"/>
      <c r="O14" s="73"/>
      <c r="P14" s="73"/>
      <c r="Q14" s="73"/>
      <c r="R14" s="73"/>
      <c r="S14" s="73"/>
      <c r="T14" s="65"/>
      <c r="U14" s="65"/>
      <c r="V14" s="65"/>
      <c r="W14" s="65"/>
      <c r="X14" s="5" t="s">
        <v>55</v>
      </c>
      <c r="Y14" s="5">
        <v>12</v>
      </c>
    </row>
    <row r="15" spans="1:27" ht="14" x14ac:dyDescent="0.3">
      <c r="A15" s="44" t="str">
        <f>IF(RP&gt;2009,"    po 1.1.2010)","")</f>
        <v xml:space="preserve">    po 1.1.2010)</v>
      </c>
      <c r="B15" s="45"/>
      <c r="C15" s="46" t="str">
        <f>IF(RP&gt;2009,"zvýšení sazby o 0,4%","")</f>
        <v>zvýšení sazby o 0,4%</v>
      </c>
      <c r="D15" s="163"/>
      <c r="E15" s="82"/>
      <c r="F15" s="66">
        <f t="shared" si="1"/>
        <v>1993</v>
      </c>
      <c r="G15" s="167"/>
      <c r="H15" s="168"/>
      <c r="I15" s="69">
        <f t="shared" si="0"/>
        <v>8.0035000000000007</v>
      </c>
      <c r="J15" s="70">
        <f t="shared" si="2"/>
        <v>0</v>
      </c>
      <c r="K15" s="71">
        <v>5817</v>
      </c>
      <c r="L15" s="65"/>
      <c r="M15" s="72"/>
      <c r="N15" s="71"/>
      <c r="O15" s="73"/>
      <c r="P15" s="73"/>
      <c r="Q15" s="73"/>
      <c r="R15" s="73"/>
      <c r="S15" s="73"/>
      <c r="T15" s="65"/>
      <c r="U15" s="65"/>
      <c r="V15" s="65"/>
      <c r="W15" s="65"/>
      <c r="X15" s="5" t="s">
        <v>56</v>
      </c>
      <c r="Y15" s="5"/>
    </row>
    <row r="16" spans="1:27" ht="14" x14ac:dyDescent="0.3">
      <c r="A16" s="44" t="s">
        <v>57</v>
      </c>
      <c r="B16" s="45"/>
      <c r="C16" s="45"/>
      <c r="D16" s="33"/>
      <c r="E16" s="83"/>
      <c r="F16" s="66">
        <f t="shared" si="1"/>
        <v>1994</v>
      </c>
      <c r="G16" s="167"/>
      <c r="H16" s="168"/>
      <c r="I16" s="69">
        <f t="shared" si="0"/>
        <v>6.7511999999999999</v>
      </c>
      <c r="J16" s="70">
        <f t="shared" si="2"/>
        <v>0</v>
      </c>
      <c r="K16" s="71">
        <v>6896</v>
      </c>
      <c r="L16" s="84">
        <v>1.1914</v>
      </c>
      <c r="M16" s="72"/>
      <c r="N16" s="71"/>
      <c r="O16" s="73"/>
      <c r="P16" s="73"/>
      <c r="Q16" s="73"/>
      <c r="R16" s="73"/>
      <c r="S16" s="73"/>
      <c r="T16" s="65"/>
      <c r="U16" s="65"/>
      <c r="V16" s="65"/>
      <c r="W16" s="65"/>
      <c r="X16" s="5" t="s">
        <v>84</v>
      </c>
      <c r="Y16" s="5"/>
    </row>
    <row r="17" spans="1:28" ht="14.5" thickBot="1" x14ac:dyDescent="0.35">
      <c r="A17" s="44" t="s">
        <v>58</v>
      </c>
      <c r="B17" s="45"/>
      <c r="C17" s="45"/>
      <c r="D17" s="33"/>
      <c r="E17" s="85"/>
      <c r="F17" s="75">
        <f t="shared" si="1"/>
        <v>1995</v>
      </c>
      <c r="G17" s="169"/>
      <c r="H17" s="170"/>
      <c r="I17" s="76">
        <f t="shared" si="0"/>
        <v>5.6970000000000001</v>
      </c>
      <c r="J17" s="77">
        <f t="shared" si="2"/>
        <v>0</v>
      </c>
      <c r="K17" s="78">
        <v>8172</v>
      </c>
      <c r="L17" s="86">
        <v>1.1978</v>
      </c>
      <c r="M17" s="80"/>
      <c r="N17" s="78"/>
      <c r="O17" s="81"/>
      <c r="P17" s="81"/>
      <c r="Q17" s="81"/>
      <c r="R17" s="81"/>
      <c r="S17" s="81"/>
      <c r="T17" s="79"/>
      <c r="U17" s="79"/>
      <c r="V17" s="79"/>
      <c r="W17" s="79"/>
      <c r="X17" s="5"/>
      <c r="Y17" s="5"/>
    </row>
    <row r="18" spans="1:28" ht="14" x14ac:dyDescent="0.3">
      <c r="A18" s="44" t="s">
        <v>59</v>
      </c>
      <c r="B18" s="45"/>
      <c r="C18" s="46" t="str" cm="1">
        <f t="array" ref="C18">INDEX(Krácení,$Z$3,2)</f>
        <v>snížení o 1,5%</v>
      </c>
      <c r="D18" s="163"/>
      <c r="E18" s="85"/>
      <c r="F18" s="66">
        <f t="shared" si="1"/>
        <v>1996</v>
      </c>
      <c r="G18" s="167"/>
      <c r="H18" s="168"/>
      <c r="I18" s="69">
        <f t="shared" si="0"/>
        <v>4.8114999999999997</v>
      </c>
      <c r="J18" s="70">
        <f t="shared" si="2"/>
        <v>0</v>
      </c>
      <c r="K18" s="71">
        <v>9676</v>
      </c>
      <c r="L18" s="84">
        <v>1.1194</v>
      </c>
      <c r="M18" s="72">
        <v>5000</v>
      </c>
      <c r="N18" s="71">
        <v>10000</v>
      </c>
      <c r="O18" s="73"/>
      <c r="P18" s="87">
        <v>0.3</v>
      </c>
      <c r="Q18" s="87">
        <v>0.1</v>
      </c>
      <c r="R18" s="73"/>
      <c r="S18" s="73">
        <v>680</v>
      </c>
      <c r="T18" s="65"/>
      <c r="U18" s="65"/>
      <c r="V18" s="62"/>
      <c r="W18" s="65"/>
      <c r="X18" s="5" t="s">
        <v>83</v>
      </c>
      <c r="Y18" s="5"/>
    </row>
    <row r="19" spans="1:28" ht="14" x14ac:dyDescent="0.3">
      <c r="A19" s="44" t="str">
        <f>IF(RP&lt;2007,"dočasně krácené (§ 30)","")</f>
        <v/>
      </c>
      <c r="B19" s="45"/>
      <c r="C19" s="46" t="str">
        <f>IF(RP&gt;2006,"","snížení sazby o "&amp;IF(RP&lt;2002,"1,0%","1,3%"))</f>
        <v/>
      </c>
      <c r="D19" s="47"/>
      <c r="E19" s="85"/>
      <c r="F19" s="66">
        <f t="shared" si="1"/>
        <v>1997</v>
      </c>
      <c r="G19" s="167"/>
      <c r="H19" s="168"/>
      <c r="I19" s="69">
        <f t="shared" si="0"/>
        <v>4.3526999999999996</v>
      </c>
      <c r="J19" s="70">
        <f t="shared" si="2"/>
        <v>0</v>
      </c>
      <c r="K19" s="71">
        <v>10696</v>
      </c>
      <c r="L19" s="84">
        <v>1.0891</v>
      </c>
      <c r="M19" s="72">
        <v>5600</v>
      </c>
      <c r="N19" s="71">
        <v>11200</v>
      </c>
      <c r="O19" s="73"/>
      <c r="P19" s="87">
        <v>0.3</v>
      </c>
      <c r="Q19" s="87">
        <v>0.1</v>
      </c>
      <c r="R19" s="73"/>
      <c r="S19" s="73">
        <v>1060</v>
      </c>
      <c r="T19" s="65"/>
      <c r="U19" s="65"/>
      <c r="V19" s="65"/>
      <c r="W19" s="65"/>
      <c r="X19" s="5" t="str">
        <f>"Pro důchody přiznané po roce "&amp;maxB&amp; " nejsou ještě známy potřebné statistické údaje o průměrné mzdě a proto je pro výpočet výše důchodu použit Vámi odhadovaný růst průměrné mzdy."</f>
        <v>Pro důchody přiznané po roce 2025 nejsou ještě známy potřebné statistické údaje o průměrné mzdě a proto je pro výpočet výše důchodu použit Vámi odhadovaný růst průměrné mzdy.</v>
      </c>
      <c r="Y19" s="5"/>
    </row>
    <row r="20" spans="1:28" ht="14" x14ac:dyDescent="0.3">
      <c r="A20" s="160" t="str">
        <f>IF(RP&gt;2022,"Počet vychovaných dětí pro nárok na výchovné","")</f>
        <v>Počet vychovaných dětí pro nárok na výchovné</v>
      </c>
      <c r="B20" s="45"/>
      <c r="C20" s="46"/>
      <c r="D20" s="163"/>
      <c r="E20" s="85"/>
      <c r="F20" s="66">
        <f t="shared" si="1"/>
        <v>1998</v>
      </c>
      <c r="G20" s="167"/>
      <c r="H20" s="168"/>
      <c r="I20" s="69">
        <f t="shared" si="0"/>
        <v>3.9815999999999998</v>
      </c>
      <c r="J20" s="70">
        <f t="shared" si="2"/>
        <v>0</v>
      </c>
      <c r="K20" s="71">
        <v>11693</v>
      </c>
      <c r="L20" s="84">
        <v>1.085</v>
      </c>
      <c r="M20" s="72">
        <v>5900</v>
      </c>
      <c r="N20" s="71">
        <v>11800</v>
      </c>
      <c r="O20" s="73"/>
      <c r="P20" s="87">
        <v>0.3</v>
      </c>
      <c r="Q20" s="87">
        <v>0.1</v>
      </c>
      <c r="R20" s="73"/>
      <c r="S20" s="73">
        <v>1260</v>
      </c>
      <c r="T20" s="65"/>
      <c r="U20" s="65"/>
      <c r="V20" s="65"/>
      <c r="W20" s="65"/>
      <c r="X20" s="5"/>
      <c r="Y20" s="5"/>
    </row>
    <row r="21" spans="1:28" ht="14" x14ac:dyDescent="0.3">
      <c r="A21" s="186" t="str">
        <f>IF(AND(RP&gt;2025,$D$20&lt;&gt;0),"POZOR! Hodnota zvýšení důchodu za vychované dítě je kalkulována v poslední známé výši 503 Kč, platné pro rok 2025. V dalších letech bude mírně vyšší.","")</f>
        <v/>
      </c>
      <c r="B21" s="187"/>
      <c r="C21" s="187"/>
      <c r="D21" s="188"/>
      <c r="E21" s="85"/>
      <c r="F21" s="66">
        <f t="shared" si="1"/>
        <v>1999</v>
      </c>
      <c r="G21" s="167"/>
      <c r="H21" s="168"/>
      <c r="I21" s="69">
        <f t="shared" si="0"/>
        <v>3.6789000000000001</v>
      </c>
      <c r="J21" s="70">
        <f t="shared" si="2"/>
        <v>0</v>
      </c>
      <c r="K21" s="71">
        <v>12655</v>
      </c>
      <c r="L21" s="84">
        <v>1.0620000000000001</v>
      </c>
      <c r="M21" s="72">
        <v>6100</v>
      </c>
      <c r="N21" s="71">
        <v>13000</v>
      </c>
      <c r="O21" s="73"/>
      <c r="P21" s="87">
        <v>0.3</v>
      </c>
      <c r="Q21" s="87">
        <v>0.1</v>
      </c>
      <c r="R21" s="73"/>
      <c r="S21" s="73">
        <v>1310</v>
      </c>
      <c r="T21" s="65"/>
      <c r="U21" s="65"/>
      <c r="V21" s="65"/>
      <c r="W21" s="65"/>
      <c r="X21" s="145" t="s">
        <v>85</v>
      </c>
      <c r="Y21" s="146"/>
      <c r="Z21" s="147"/>
      <c r="AA21" s="147"/>
      <c r="AB21" s="147"/>
    </row>
    <row r="22" spans="1:28" ht="14.5" thickBot="1" x14ac:dyDescent="0.35">
      <c r="A22" s="189"/>
      <c r="B22" s="187"/>
      <c r="C22" s="187"/>
      <c r="D22" s="188"/>
      <c r="E22" s="90"/>
      <c r="F22" s="75">
        <f t="shared" si="1"/>
        <v>2000</v>
      </c>
      <c r="G22" s="169"/>
      <c r="H22" s="170"/>
      <c r="I22" s="76">
        <f t="shared" si="0"/>
        <v>3.4512</v>
      </c>
      <c r="J22" s="77">
        <f t="shared" si="2"/>
        <v>0</v>
      </c>
      <c r="K22" s="78">
        <v>13490</v>
      </c>
      <c r="L22" s="86">
        <v>1.0942000000000001</v>
      </c>
      <c r="M22" s="80">
        <v>6300</v>
      </c>
      <c r="N22" s="78">
        <v>14200</v>
      </c>
      <c r="O22" s="81"/>
      <c r="P22" s="91">
        <v>0.3</v>
      </c>
      <c r="Q22" s="91">
        <v>0.1</v>
      </c>
      <c r="R22" s="81"/>
      <c r="S22" s="81">
        <v>1310</v>
      </c>
      <c r="T22" s="79"/>
      <c r="U22" s="65"/>
      <c r="V22" s="79"/>
      <c r="W22" s="65"/>
      <c r="X22" s="145" t="s">
        <v>87</v>
      </c>
      <c r="Y22" s="146"/>
      <c r="Z22" s="147"/>
      <c r="AA22" s="147"/>
      <c r="AB22" s="147"/>
    </row>
    <row r="23" spans="1:28" ht="14.5" thickBot="1" x14ac:dyDescent="0.35">
      <c r="A23" s="190"/>
      <c r="B23" s="191"/>
      <c r="C23" s="191"/>
      <c r="D23" s="192"/>
      <c r="E23" s="85"/>
      <c r="F23" s="66">
        <f t="shared" si="1"/>
        <v>2001</v>
      </c>
      <c r="G23" s="167"/>
      <c r="H23" s="168"/>
      <c r="I23" s="69">
        <f t="shared" si="0"/>
        <v>3.1800999999999999</v>
      </c>
      <c r="J23" s="70">
        <f t="shared" si="2"/>
        <v>0</v>
      </c>
      <c r="K23" s="71">
        <v>14640</v>
      </c>
      <c r="L23" s="84">
        <v>1.0692999999999999</v>
      </c>
      <c r="M23" s="72">
        <v>6600</v>
      </c>
      <c r="N23" s="71">
        <v>15300</v>
      </c>
      <c r="O23" s="73"/>
      <c r="P23" s="87">
        <v>0.3</v>
      </c>
      <c r="Q23" s="87">
        <v>0.1</v>
      </c>
      <c r="R23" s="73"/>
      <c r="S23" s="73">
        <v>1310</v>
      </c>
      <c r="T23" s="65"/>
      <c r="U23" s="62"/>
      <c r="V23" s="62"/>
      <c r="W23" s="62"/>
      <c r="X23" s="145" t="s">
        <v>86</v>
      </c>
      <c r="Y23" s="146"/>
      <c r="Z23" s="147"/>
      <c r="AA23" s="147"/>
      <c r="AB23" s="147"/>
    </row>
    <row r="24" spans="1:28" ht="14" x14ac:dyDescent="0.3">
      <c r="A24" s="88" t="s">
        <v>60</v>
      </c>
      <c r="B24" s="45"/>
      <c r="C24" s="45"/>
      <c r="D24" s="33"/>
      <c r="E24" s="83"/>
      <c r="F24" s="66">
        <f t="shared" si="1"/>
        <v>2002</v>
      </c>
      <c r="G24" s="167"/>
      <c r="H24" s="168"/>
      <c r="I24" s="69">
        <f t="shared" si="0"/>
        <v>2.9632999999999998</v>
      </c>
      <c r="J24" s="70">
        <f t="shared" si="2"/>
        <v>0</v>
      </c>
      <c r="K24" s="71">
        <v>15711</v>
      </c>
      <c r="L24" s="84">
        <v>1.0717000000000001</v>
      </c>
      <c r="M24" s="72">
        <v>7100</v>
      </c>
      <c r="N24" s="71">
        <v>16800</v>
      </c>
      <c r="O24" s="73"/>
      <c r="P24" s="87">
        <v>0.3</v>
      </c>
      <c r="Q24" s="87">
        <v>0.1</v>
      </c>
      <c r="R24" s="73"/>
      <c r="S24" s="73">
        <v>1310</v>
      </c>
      <c r="T24" s="65"/>
      <c r="U24" s="65"/>
      <c r="V24" s="96"/>
      <c r="W24" s="65"/>
      <c r="X24" s="97"/>
      <c r="Y24" s="5"/>
    </row>
    <row r="25" spans="1:28" ht="14" x14ac:dyDescent="0.3">
      <c r="A25" s="44" t="s">
        <v>61</v>
      </c>
      <c r="B25" s="45"/>
      <c r="C25" s="45"/>
      <c r="D25" s="89">
        <f>ROUND(D7,0)*0.015</f>
        <v>0</v>
      </c>
      <c r="E25" s="19"/>
      <c r="F25" s="66">
        <f t="shared" si="1"/>
        <v>2003</v>
      </c>
      <c r="G25" s="167"/>
      <c r="H25" s="168"/>
      <c r="I25" s="69">
        <f t="shared" si="0"/>
        <v>2.7763</v>
      </c>
      <c r="J25" s="70">
        <f t="shared" si="2"/>
        <v>0</v>
      </c>
      <c r="K25" s="71">
        <v>16769</v>
      </c>
      <c r="L25" s="84">
        <v>1.0665</v>
      </c>
      <c r="M25" s="72">
        <v>7400</v>
      </c>
      <c r="N25" s="71">
        <v>17900</v>
      </c>
      <c r="O25" s="73"/>
      <c r="P25" s="87">
        <v>0.3</v>
      </c>
      <c r="Q25" s="87">
        <v>0.1</v>
      </c>
      <c r="R25" s="73"/>
      <c r="S25" s="73">
        <v>1310</v>
      </c>
      <c r="T25" s="65"/>
      <c r="U25" s="65"/>
      <c r="V25" s="96"/>
      <c r="W25" s="65"/>
      <c r="X25" s="97"/>
      <c r="Y25" s="5"/>
    </row>
    <row r="26" spans="1:28" ht="15.5" x14ac:dyDescent="0.35">
      <c r="A26" s="44" t="s">
        <v>62</v>
      </c>
      <c r="B26" s="45"/>
      <c r="C26" s="45"/>
      <c r="D26" s="151">
        <f>ROUND(D10,0)*0.01+ROUND(D11,0)*0.015+IF(RP&lt;2010,0,ROUND(D13,0)*0.015+ROUND(D15,0)*0.004)</f>
        <v>0</v>
      </c>
      <c r="E26" s="19"/>
      <c r="F26" s="66">
        <f t="shared" si="1"/>
        <v>2004</v>
      </c>
      <c r="G26" s="167"/>
      <c r="H26" s="168"/>
      <c r="I26" s="69">
        <f t="shared" si="0"/>
        <v>2.6034999999999999</v>
      </c>
      <c r="J26" s="70">
        <f t="shared" si="2"/>
        <v>0</v>
      </c>
      <c r="K26" s="71">
        <v>17882</v>
      </c>
      <c r="L26" s="84">
        <v>1.0531999999999999</v>
      </c>
      <c r="M26" s="72">
        <v>7500</v>
      </c>
      <c r="N26" s="71">
        <v>19200</v>
      </c>
      <c r="O26" s="73"/>
      <c r="P26" s="87">
        <v>0.3</v>
      </c>
      <c r="Q26" s="87">
        <v>0.1</v>
      </c>
      <c r="R26" s="73"/>
      <c r="S26" s="73">
        <v>1310</v>
      </c>
      <c r="T26" s="65"/>
      <c r="U26" s="65"/>
      <c r="V26" s="96"/>
      <c r="W26" s="65"/>
      <c r="X26" s="5"/>
      <c r="Y26" s="5"/>
    </row>
    <row r="27" spans="1:28" ht="14.5" thickBot="1" x14ac:dyDescent="0.35">
      <c r="A27" s="44" t="s">
        <v>63</v>
      </c>
      <c r="B27" s="45"/>
      <c r="C27" s="92">
        <f>ROUND(D18,0)</f>
        <v>0</v>
      </c>
      <c r="D27" s="89" cm="1">
        <f t="array" ref="D27">-INDEX(Krácení,$Z$3,1)-IF(RP&gt;2006,0,ROUND(D19,0)*IF(RP&lt;2002,0.01,0.013))</f>
        <v>0</v>
      </c>
      <c r="E27" s="19"/>
      <c r="F27" s="75">
        <f t="shared" si="1"/>
        <v>2005</v>
      </c>
      <c r="G27" s="169"/>
      <c r="H27" s="170"/>
      <c r="I27" s="76">
        <f t="shared" si="0"/>
        <v>2.4752000000000001</v>
      </c>
      <c r="J27" s="77">
        <f t="shared" si="2"/>
        <v>0</v>
      </c>
      <c r="K27" s="78">
        <v>18809</v>
      </c>
      <c r="L27" s="86">
        <v>1.0707</v>
      </c>
      <c r="M27" s="80">
        <v>8400</v>
      </c>
      <c r="N27" s="78">
        <v>20500</v>
      </c>
      <c r="O27" s="81"/>
      <c r="P27" s="91">
        <v>0.3</v>
      </c>
      <c r="Q27" s="91">
        <v>0.1</v>
      </c>
      <c r="R27" s="81"/>
      <c r="S27" s="81">
        <v>1400</v>
      </c>
      <c r="T27" s="79"/>
      <c r="U27" s="79"/>
      <c r="V27" s="104"/>
      <c r="W27" s="79"/>
      <c r="X27" s="5"/>
      <c r="Y27" s="5"/>
    </row>
    <row r="28" spans="1:28" ht="14.5" thickBot="1" x14ac:dyDescent="0.35">
      <c r="A28" s="93"/>
      <c r="B28" s="94"/>
      <c r="C28" s="94" t="s">
        <v>64</v>
      </c>
      <c r="D28" s="95">
        <f>SUM(D25:D27)</f>
        <v>0</v>
      </c>
      <c r="E28" s="19"/>
      <c r="F28" s="58">
        <f t="shared" si="1"/>
        <v>2006</v>
      </c>
      <c r="G28" s="165"/>
      <c r="H28" s="166"/>
      <c r="I28" s="59">
        <f t="shared" si="0"/>
        <v>2.3220000000000001</v>
      </c>
      <c r="J28" s="60">
        <f t="shared" si="2"/>
        <v>0</v>
      </c>
      <c r="K28" s="61">
        <v>20050</v>
      </c>
      <c r="L28" s="106">
        <v>1.0752999999999999</v>
      </c>
      <c r="M28" s="63">
        <v>9100</v>
      </c>
      <c r="N28" s="61">
        <v>21800</v>
      </c>
      <c r="O28" s="64"/>
      <c r="P28" s="107">
        <v>0.3</v>
      </c>
      <c r="Q28" s="107">
        <v>0.1</v>
      </c>
      <c r="R28" s="64"/>
      <c r="S28" s="64">
        <v>1470</v>
      </c>
      <c r="T28" s="62"/>
      <c r="U28" s="62"/>
      <c r="V28" s="29"/>
      <c r="W28" s="62"/>
      <c r="X28" s="5"/>
      <c r="Y28" s="5"/>
    </row>
    <row r="29" spans="1:28" ht="14" x14ac:dyDescent="0.3">
      <c r="A29" s="98" t="str">
        <f>" Stanovení výpočtového základu v roce "&amp;RP</f>
        <v xml:space="preserve"> Stanovení výpočtového základu v roce 2025</v>
      </c>
      <c r="B29" s="17"/>
      <c r="C29" s="17"/>
      <c r="D29" s="99"/>
      <c r="E29" s="19"/>
      <c r="F29" s="66">
        <f t="shared" si="1"/>
        <v>2007</v>
      </c>
      <c r="G29" s="167"/>
      <c r="H29" s="168"/>
      <c r="I29" s="69">
        <f t="shared" si="0"/>
        <v>2.1627000000000001</v>
      </c>
      <c r="J29" s="70">
        <f t="shared" si="2"/>
        <v>0</v>
      </c>
      <c r="K29" s="71">
        <v>21527</v>
      </c>
      <c r="L29" s="84">
        <v>1.0942000000000001</v>
      </c>
      <c r="M29" s="108">
        <v>9600</v>
      </c>
      <c r="N29" s="109">
        <v>23300</v>
      </c>
      <c r="O29" s="110"/>
      <c r="P29" s="111">
        <v>0.3</v>
      </c>
      <c r="Q29" s="111">
        <v>0.1</v>
      </c>
      <c r="R29" s="110"/>
      <c r="S29" s="110">
        <v>1570</v>
      </c>
      <c r="T29" s="112"/>
      <c r="U29" s="112"/>
      <c r="V29" s="43"/>
      <c r="W29" s="112"/>
      <c r="X29" s="5"/>
      <c r="Y29" s="5"/>
    </row>
    <row r="30" spans="1:28" ht="14" x14ac:dyDescent="0.3">
      <c r="A30" s="44" t="s">
        <v>65</v>
      </c>
      <c r="B30" s="45"/>
      <c r="C30" s="100" t="s">
        <v>66</v>
      </c>
      <c r="D30" s="101">
        <f>RP-1</f>
        <v>2024</v>
      </c>
      <c r="E30" s="19"/>
      <c r="F30" s="66">
        <f t="shared" si="1"/>
        <v>2008</v>
      </c>
      <c r="G30" s="167"/>
      <c r="H30" s="168"/>
      <c r="I30" s="69">
        <f t="shared" si="0"/>
        <v>1.9998</v>
      </c>
      <c r="J30" s="70">
        <f t="shared" ref="J30:J46" si="3">IF(G30&gt;0,CEILING(MIN($G30,U30)*I30,1),0)</f>
        <v>0</v>
      </c>
      <c r="K30" s="71">
        <v>23280</v>
      </c>
      <c r="L30" s="84">
        <v>1.0184</v>
      </c>
      <c r="M30" s="108">
        <v>10000</v>
      </c>
      <c r="N30" s="109">
        <v>24800</v>
      </c>
      <c r="O30" s="110"/>
      <c r="P30" s="111">
        <v>0.3</v>
      </c>
      <c r="Q30" s="111">
        <v>0.1</v>
      </c>
      <c r="R30" s="110"/>
      <c r="S30" s="110">
        <v>2170</v>
      </c>
      <c r="T30" s="112">
        <f>CEILING(K28*L28,1)</f>
        <v>21560</v>
      </c>
      <c r="U30" s="112">
        <f t="shared" ref="U30:U44" si="4">T30*V30*12</f>
        <v>1034880</v>
      </c>
      <c r="V30" s="43">
        <v>4</v>
      </c>
      <c r="W30" s="112"/>
      <c r="X30" s="5"/>
      <c r="Y30" s="5"/>
    </row>
    <row r="31" spans="1:28" ht="14" x14ac:dyDescent="0.3">
      <c r="A31" s="31" t="s">
        <v>67</v>
      </c>
      <c r="B31" s="102"/>
      <c r="C31" s="102"/>
      <c r="D31" s="103">
        <f ca="1">SUM(OFFSET(J8,0,0,D34))</f>
        <v>0</v>
      </c>
      <c r="E31" s="19"/>
      <c r="F31" s="66">
        <f t="shared" si="1"/>
        <v>2009</v>
      </c>
      <c r="G31" s="167"/>
      <c r="H31" s="168"/>
      <c r="I31" s="69">
        <f t="shared" si="0"/>
        <v>1.9325000000000001</v>
      </c>
      <c r="J31" s="70">
        <f t="shared" si="3"/>
        <v>0</v>
      </c>
      <c r="K31" s="71">
        <v>24091</v>
      </c>
      <c r="L31" s="84">
        <v>1.0268999999999999</v>
      </c>
      <c r="M31" s="108">
        <v>10500</v>
      </c>
      <c r="N31" s="109">
        <v>27000</v>
      </c>
      <c r="O31" s="110"/>
      <c r="P31" s="111">
        <v>0.3</v>
      </c>
      <c r="Q31" s="111">
        <v>0.1</v>
      </c>
      <c r="R31" s="110"/>
      <c r="S31" s="110">
        <v>2170</v>
      </c>
      <c r="T31" s="112">
        <f t="shared" ref="T31:T37" si="5">MAX(CEILING(K29*L29,1),T30)</f>
        <v>23555</v>
      </c>
      <c r="U31" s="112">
        <f t="shared" si="4"/>
        <v>1130640</v>
      </c>
      <c r="V31" s="43">
        <v>4</v>
      </c>
      <c r="W31" s="112"/>
      <c r="X31" s="5"/>
      <c r="Y31" s="5"/>
    </row>
    <row r="32" spans="1:28" ht="14.5" thickBot="1" x14ac:dyDescent="0.35">
      <c r="A32" s="31" t="s">
        <v>68</v>
      </c>
      <c r="B32" s="105" t="s">
        <v>69</v>
      </c>
      <c r="C32" s="45">
        <f>DATE(D30,12,31)-DATE(1986,1,1)+1</f>
        <v>14245</v>
      </c>
      <c r="D32" s="33"/>
      <c r="E32" s="19"/>
      <c r="F32" s="75">
        <f t="shared" si="1"/>
        <v>2010</v>
      </c>
      <c r="G32" s="169"/>
      <c r="H32" s="170"/>
      <c r="I32" s="76">
        <f t="shared" si="0"/>
        <v>1.8982000000000001</v>
      </c>
      <c r="J32" s="77">
        <f t="shared" si="3"/>
        <v>0</v>
      </c>
      <c r="K32" s="78">
        <v>24526</v>
      </c>
      <c r="L32" s="86">
        <v>1.0248999999999999</v>
      </c>
      <c r="M32" s="114">
        <v>10500</v>
      </c>
      <c r="N32" s="115">
        <v>27000</v>
      </c>
      <c r="O32" s="116"/>
      <c r="P32" s="117">
        <v>0.3</v>
      </c>
      <c r="Q32" s="117">
        <v>0.1</v>
      </c>
      <c r="R32" s="116"/>
      <c r="S32" s="116">
        <v>2170</v>
      </c>
      <c r="T32" s="118">
        <f t="shared" si="5"/>
        <v>23709</v>
      </c>
      <c r="U32" s="118">
        <f t="shared" si="4"/>
        <v>1707048</v>
      </c>
      <c r="V32" s="119">
        <v>6</v>
      </c>
      <c r="W32" s="118"/>
      <c r="X32" s="5"/>
      <c r="Y32" s="5"/>
    </row>
    <row r="33" spans="1:25" ht="14" x14ac:dyDescent="0.3">
      <c r="A33" s="31"/>
      <c r="B33" s="105" t="s">
        <v>70</v>
      </c>
      <c r="C33" s="45">
        <f ca="1">SUM(OFFSET(H8,0,0,D34))</f>
        <v>0</v>
      </c>
      <c r="D33" s="33"/>
      <c r="E33" s="19"/>
      <c r="F33" s="58">
        <f t="shared" si="1"/>
        <v>2011</v>
      </c>
      <c r="G33" s="167"/>
      <c r="H33" s="168"/>
      <c r="I33" s="59">
        <f t="shared" si="0"/>
        <v>1.8552999999999999</v>
      </c>
      <c r="J33" s="60">
        <f t="shared" si="3"/>
        <v>0</v>
      </c>
      <c r="K33" s="122">
        <v>25093</v>
      </c>
      <c r="L33" s="123">
        <v>1.0315000000000001</v>
      </c>
      <c r="M33" s="122">
        <f>IF(US=1,CEILING($T33*0.44,1),11000)</f>
        <v>10886</v>
      </c>
      <c r="N33" s="122">
        <f>IF(US=1,CEILING($T33*1.16,1),28200)</f>
        <v>28699</v>
      </c>
      <c r="O33" s="124">
        <f>IF(US=1,CEILING($T33*4,1),0)</f>
        <v>98960</v>
      </c>
      <c r="P33" s="125">
        <f>IF(US=1,0.29,0.3)</f>
        <v>0.28999999999999998</v>
      </c>
      <c r="Q33" s="125">
        <f>IF(US=1,0.13,0.1)</f>
        <v>0.13</v>
      </c>
      <c r="R33" s="126">
        <f>IF(US=1,0.1,0)</f>
        <v>0.1</v>
      </c>
      <c r="S33" s="124">
        <v>2230</v>
      </c>
      <c r="T33" s="127">
        <f t="shared" si="5"/>
        <v>24740</v>
      </c>
      <c r="U33" s="127">
        <f t="shared" si="4"/>
        <v>1781280</v>
      </c>
      <c r="V33" s="29">
        <v>6</v>
      </c>
      <c r="W33" s="127"/>
      <c r="X33" s="5"/>
      <c r="Y33" s="5"/>
    </row>
    <row r="34" spans="1:25" ht="14" x14ac:dyDescent="0.3">
      <c r="A34" s="31" t="s">
        <v>71</v>
      </c>
      <c r="B34" s="102"/>
      <c r="C34" s="45">
        <f ca="1">CEILING(D31*30.4167/(C32-C33),1)</f>
        <v>0</v>
      </c>
      <c r="D34" s="113">
        <f>D30-1985</f>
        <v>39</v>
      </c>
      <c r="E34" s="19"/>
      <c r="F34" s="66">
        <f t="shared" si="1"/>
        <v>2012</v>
      </c>
      <c r="G34" s="167"/>
      <c r="H34" s="168"/>
      <c r="I34" s="69">
        <f t="shared" si="0"/>
        <v>1.7972999999999999</v>
      </c>
      <c r="J34" s="70">
        <f t="shared" si="3"/>
        <v>0</v>
      </c>
      <c r="K34" s="71">
        <v>25903</v>
      </c>
      <c r="L34" s="84">
        <v>1.0015000000000001</v>
      </c>
      <c r="M34" s="109">
        <v>11061</v>
      </c>
      <c r="N34" s="109">
        <v>29159</v>
      </c>
      <c r="O34" s="110">
        <v>100548</v>
      </c>
      <c r="P34" s="111">
        <v>0.28000000000000003</v>
      </c>
      <c r="Q34" s="111">
        <v>0.16</v>
      </c>
      <c r="R34" s="128">
        <v>0.08</v>
      </c>
      <c r="S34" s="110">
        <f t="shared" ref="S34:S40" si="6">CEILING($T34*0.09,10)</f>
        <v>2270</v>
      </c>
      <c r="T34" s="112">
        <f t="shared" si="5"/>
        <v>25137</v>
      </c>
      <c r="U34" s="112">
        <f t="shared" si="4"/>
        <v>1206576</v>
      </c>
      <c r="V34" s="43">
        <v>4</v>
      </c>
      <c r="W34" s="112"/>
      <c r="X34" s="5"/>
      <c r="Y34" s="5"/>
    </row>
    <row r="35" spans="1:25" ht="14" x14ac:dyDescent="0.3">
      <c r="A35" s="31" t="s">
        <v>72</v>
      </c>
      <c r="B35" s="102"/>
      <c r="C35" s="155" t="str">
        <f>TEXT(M52,"## ###")&amp;" ; "&amp;TEXT(N52,"## ###")&amp;IF(O52&gt;0," ; "&amp;TEXT(O52,"## ###"),"")</f>
        <v>20 486 ; 186 228</v>
      </c>
      <c r="D35" s="156"/>
      <c r="E35" s="19"/>
      <c r="F35" s="66">
        <f t="shared" si="1"/>
        <v>2013</v>
      </c>
      <c r="G35" s="167"/>
      <c r="H35" s="168"/>
      <c r="I35" s="69">
        <f t="shared" si="0"/>
        <v>1.7972999999999999</v>
      </c>
      <c r="J35" s="70">
        <f t="shared" si="3"/>
        <v>0</v>
      </c>
      <c r="K35" s="71">
        <v>25903</v>
      </c>
      <c r="L35" s="84">
        <v>1.0273000000000001</v>
      </c>
      <c r="M35" s="109">
        <f t="shared" ref="M35:M50" si="7">CEILING($T35*0.44,1)</f>
        <v>11389</v>
      </c>
      <c r="N35" s="109">
        <f>CEILING($T35*1.16,1)</f>
        <v>30026</v>
      </c>
      <c r="O35" s="110">
        <f>CEILING($T35*4,1)</f>
        <v>103536</v>
      </c>
      <c r="P35" s="111">
        <v>0.27</v>
      </c>
      <c r="Q35" s="111">
        <v>0.19</v>
      </c>
      <c r="R35" s="128">
        <v>0.06</v>
      </c>
      <c r="S35" s="110">
        <f t="shared" si="6"/>
        <v>2330</v>
      </c>
      <c r="T35" s="112">
        <f t="shared" si="5"/>
        <v>25884</v>
      </c>
      <c r="U35" s="112">
        <f t="shared" si="4"/>
        <v>1242432</v>
      </c>
      <c r="V35" s="43">
        <v>4</v>
      </c>
      <c r="W35" s="112"/>
      <c r="X35" s="5"/>
      <c r="Y35" s="5"/>
    </row>
    <row r="36" spans="1:25" ht="14" x14ac:dyDescent="0.3">
      <c r="A36" s="31"/>
      <c r="B36" s="105" t="s">
        <v>73</v>
      </c>
      <c r="C36" s="155" t="str">
        <f>"100% ; "&amp;TEXT(P52,"##%")&amp;IF(Q52&gt;0," ; "&amp;TEXT(Q52,"##%"),"")&amp;IF(R52&gt;0," ; "&amp;TEXT(R52,"##%"),"")</f>
        <v>100% ; 26%</v>
      </c>
      <c r="D36" s="156"/>
      <c r="E36" s="19"/>
      <c r="F36" s="66">
        <f t="shared" si="1"/>
        <v>2014</v>
      </c>
      <c r="G36" s="167"/>
      <c r="H36" s="168"/>
      <c r="I36" s="69">
        <f t="shared" si="0"/>
        <v>1.7664</v>
      </c>
      <c r="J36" s="70">
        <f t="shared" si="3"/>
        <v>0</v>
      </c>
      <c r="K36" s="71">
        <v>26357</v>
      </c>
      <c r="L36" s="84">
        <v>1.0246</v>
      </c>
      <c r="M36" s="109">
        <f t="shared" si="7"/>
        <v>11415</v>
      </c>
      <c r="N36" s="109">
        <f>CEILING($T36*1.16,1)</f>
        <v>30093</v>
      </c>
      <c r="O36" s="110">
        <f>CEILING($T36*4,1)</f>
        <v>103768</v>
      </c>
      <c r="P36" s="111">
        <v>0.26</v>
      </c>
      <c r="Q36" s="111">
        <v>0.22</v>
      </c>
      <c r="R36" s="128">
        <v>0.03</v>
      </c>
      <c r="S36" s="110">
        <f t="shared" si="6"/>
        <v>2340</v>
      </c>
      <c r="T36" s="112">
        <f t="shared" si="5"/>
        <v>25942</v>
      </c>
      <c r="U36" s="112">
        <f t="shared" si="4"/>
        <v>1245216</v>
      </c>
      <c r="V36" s="43">
        <v>4</v>
      </c>
      <c r="W36" s="112"/>
      <c r="X36" s="5"/>
      <c r="Y36" s="5"/>
    </row>
    <row r="37" spans="1:25" ht="14.5" thickBot="1" x14ac:dyDescent="0.35">
      <c r="A37" s="120"/>
      <c r="B37" s="121" t="s">
        <v>74</v>
      </c>
      <c r="C37" s="154">
        <f ca="1">CEILING(S52+T52,1)</f>
        <v>0</v>
      </c>
      <c r="D37" s="159"/>
      <c r="E37" s="19"/>
      <c r="F37" s="75">
        <f t="shared" si="1"/>
        <v>2015</v>
      </c>
      <c r="G37" s="169"/>
      <c r="H37" s="170"/>
      <c r="I37" s="76">
        <f t="shared" si="0"/>
        <v>1.7143999999999999</v>
      </c>
      <c r="J37" s="77">
        <f t="shared" si="3"/>
        <v>0</v>
      </c>
      <c r="K37" s="109">
        <v>27156</v>
      </c>
      <c r="L37" s="143">
        <v>1.0396000000000001</v>
      </c>
      <c r="M37" s="115">
        <f t="shared" si="7"/>
        <v>11709</v>
      </c>
      <c r="N37" s="115">
        <f t="shared" ref="N37:N50" si="8">CEILING($T37*4,1)</f>
        <v>106444</v>
      </c>
      <c r="O37" s="116"/>
      <c r="P37" s="117">
        <v>0.26</v>
      </c>
      <c r="Q37" s="117">
        <v>0</v>
      </c>
      <c r="R37" s="131">
        <v>0</v>
      </c>
      <c r="S37" s="116">
        <f t="shared" si="6"/>
        <v>2400</v>
      </c>
      <c r="T37" s="118">
        <f t="shared" si="5"/>
        <v>26611</v>
      </c>
      <c r="U37" s="118">
        <f t="shared" si="4"/>
        <v>1277328</v>
      </c>
      <c r="V37" s="119">
        <v>4</v>
      </c>
      <c r="W37" s="118"/>
      <c r="X37" s="5"/>
      <c r="Y37" s="5"/>
    </row>
    <row r="38" spans="1:25" ht="14" x14ac:dyDescent="0.3">
      <c r="A38" s="171" t="s">
        <v>75</v>
      </c>
      <c r="B38" s="172"/>
      <c r="C38" s="173" t="str">
        <f>IF(RP&gt;maxB,"podle odhadu růstu mezd","")</f>
        <v/>
      </c>
      <c r="D38" s="174"/>
      <c r="E38" s="19"/>
      <c r="F38" s="66">
        <f t="shared" si="1"/>
        <v>2016</v>
      </c>
      <c r="G38" s="167"/>
      <c r="H38" s="168"/>
      <c r="I38" s="69">
        <f t="shared" si="0"/>
        <v>1.6479999999999999</v>
      </c>
      <c r="J38" s="70">
        <f t="shared" si="3"/>
        <v>0</v>
      </c>
      <c r="K38" s="122">
        <v>28250</v>
      </c>
      <c r="L38" s="123">
        <v>1.0611999999999999</v>
      </c>
      <c r="M38" s="122">
        <f t="shared" si="7"/>
        <v>11883</v>
      </c>
      <c r="N38" s="122">
        <f t="shared" si="8"/>
        <v>108024</v>
      </c>
      <c r="O38" s="124"/>
      <c r="P38" s="125">
        <v>0.26</v>
      </c>
      <c r="Q38" s="125"/>
      <c r="R38" s="124"/>
      <c r="S38" s="124">
        <f t="shared" si="6"/>
        <v>2440</v>
      </c>
      <c r="T38" s="127">
        <f t="shared" ref="T38:T44" si="9">MAX(CEILING(K36*L36,1),T37)</f>
        <v>27006</v>
      </c>
      <c r="U38" s="127">
        <f t="shared" si="4"/>
        <v>1296288</v>
      </c>
      <c r="V38" s="29">
        <v>4</v>
      </c>
      <c r="W38" s="127"/>
      <c r="X38" s="5"/>
      <c r="Y38" s="5"/>
    </row>
    <row r="39" spans="1:25" ht="15" customHeight="1" x14ac:dyDescent="0.3">
      <c r="A39" s="175"/>
      <c r="B39" s="176" t="s">
        <v>76</v>
      </c>
      <c r="C39" s="176"/>
      <c r="D39" s="177">
        <f>VLOOKUP(RP,MTC,14)</f>
        <v>4660</v>
      </c>
      <c r="E39" s="19"/>
      <c r="F39" s="66">
        <f t="shared" si="1"/>
        <v>2017</v>
      </c>
      <c r="G39" s="167"/>
      <c r="H39" s="168"/>
      <c r="I39" s="69">
        <f t="shared" si="0"/>
        <v>1.5438000000000001</v>
      </c>
      <c r="J39" s="70">
        <f t="shared" si="3"/>
        <v>0</v>
      </c>
      <c r="K39" s="109">
        <v>30156</v>
      </c>
      <c r="L39" s="143">
        <v>1.0843</v>
      </c>
      <c r="M39" s="109">
        <f t="shared" si="7"/>
        <v>12423</v>
      </c>
      <c r="N39" s="109">
        <f t="shared" si="8"/>
        <v>112928</v>
      </c>
      <c r="O39" s="110"/>
      <c r="P39" s="111">
        <v>0.26</v>
      </c>
      <c r="Q39" s="111"/>
      <c r="R39" s="110"/>
      <c r="S39" s="110">
        <f t="shared" si="6"/>
        <v>2550</v>
      </c>
      <c r="T39" s="112">
        <f t="shared" si="9"/>
        <v>28232</v>
      </c>
      <c r="U39" s="112">
        <f t="shared" si="4"/>
        <v>1355136</v>
      </c>
      <c r="V39" s="43">
        <v>4</v>
      </c>
      <c r="W39" s="112"/>
      <c r="X39" s="5"/>
      <c r="Y39" s="5"/>
    </row>
    <row r="40" spans="1:25" ht="14.25" customHeight="1" x14ac:dyDescent="0.3">
      <c r="A40" s="175"/>
      <c r="B40" s="176" t="s">
        <v>77</v>
      </c>
      <c r="C40" s="176"/>
      <c r="D40" s="177">
        <f ca="1">MAX(770,CEILING(C37*D25,1)+CEILING(C37*D26,1)-FLOOR(-C37*D27,1))+IF(RP&gt;2022,D20*VLOOKUP(RP,MTC,18),0)</f>
        <v>770</v>
      </c>
      <c r="E40" s="19"/>
      <c r="F40" s="66">
        <f t="shared" si="1"/>
        <v>2018</v>
      </c>
      <c r="G40" s="167"/>
      <c r="H40" s="168"/>
      <c r="I40" s="69">
        <f t="shared" si="0"/>
        <v>1.4320999999999999</v>
      </c>
      <c r="J40" s="70">
        <f t="shared" si="3"/>
        <v>0</v>
      </c>
      <c r="K40" s="109">
        <v>32510</v>
      </c>
      <c r="L40" s="143">
        <v>1.0714999999999999</v>
      </c>
      <c r="M40" s="109">
        <f t="shared" si="7"/>
        <v>13191</v>
      </c>
      <c r="N40" s="109">
        <f t="shared" si="8"/>
        <v>119916</v>
      </c>
      <c r="O40" s="110"/>
      <c r="P40" s="111">
        <v>0.26</v>
      </c>
      <c r="Q40" s="111"/>
      <c r="R40" s="110"/>
      <c r="S40" s="110">
        <f t="shared" si="6"/>
        <v>2700</v>
      </c>
      <c r="T40" s="112">
        <f t="shared" si="9"/>
        <v>29979</v>
      </c>
      <c r="U40" s="112">
        <f t="shared" si="4"/>
        <v>1438992</v>
      </c>
      <c r="V40" s="43">
        <v>4</v>
      </c>
      <c r="W40" s="112"/>
      <c r="X40" s="5"/>
      <c r="Y40" s="5"/>
    </row>
    <row r="41" spans="1:25" ht="14.5" thickBot="1" x14ac:dyDescent="0.35">
      <c r="A41" s="178"/>
      <c r="B41" s="179" t="s">
        <v>78</v>
      </c>
      <c r="C41" s="179"/>
      <c r="D41" s="180">
        <f ca="1">D40+D39</f>
        <v>5430</v>
      </c>
      <c r="E41" s="19"/>
      <c r="F41" s="66">
        <f t="shared" si="1"/>
        <v>2019</v>
      </c>
      <c r="G41" s="167"/>
      <c r="H41" s="168"/>
      <c r="I41" s="69">
        <f t="shared" si="0"/>
        <v>1.3391</v>
      </c>
      <c r="J41" s="70">
        <f t="shared" si="3"/>
        <v>0</v>
      </c>
      <c r="K41" s="109">
        <v>34766</v>
      </c>
      <c r="L41" s="143">
        <v>1.0194000000000001</v>
      </c>
      <c r="M41" s="109">
        <f t="shared" si="7"/>
        <v>14388</v>
      </c>
      <c r="N41" s="109">
        <f t="shared" si="8"/>
        <v>130796</v>
      </c>
      <c r="O41" s="110"/>
      <c r="P41" s="111">
        <v>0.26</v>
      </c>
      <c r="Q41" s="111"/>
      <c r="R41" s="110"/>
      <c r="S41" s="110">
        <f>CEILING($T41*0.1,10)</f>
        <v>3270</v>
      </c>
      <c r="T41" s="112">
        <f t="shared" si="9"/>
        <v>32699</v>
      </c>
      <c r="U41" s="112">
        <f t="shared" si="4"/>
        <v>1569552</v>
      </c>
      <c r="V41" s="43">
        <v>4</v>
      </c>
      <c r="W41" s="112"/>
      <c r="X41" s="5"/>
      <c r="Y41" s="5"/>
    </row>
    <row r="42" spans="1:25" ht="15" customHeight="1" thickBot="1" x14ac:dyDescent="0.35">
      <c r="A42" s="193" t="str">
        <f ca="1">OFFSET(X3,X3,0)</f>
        <v>POZOR ! Není vyplněna doba pojištění ke dni vzniku nároku na důchod!</v>
      </c>
      <c r="B42" s="194"/>
      <c r="C42" s="194"/>
      <c r="D42" s="194"/>
      <c r="E42" s="19"/>
      <c r="F42" s="75">
        <f t="shared" si="1"/>
        <v>2020</v>
      </c>
      <c r="G42" s="169"/>
      <c r="H42" s="170"/>
      <c r="I42" s="76">
        <f t="shared" si="0"/>
        <v>1.2889999999999999</v>
      </c>
      <c r="J42" s="77">
        <f t="shared" si="3"/>
        <v>0</v>
      </c>
      <c r="K42" s="115">
        <v>36119</v>
      </c>
      <c r="L42" s="149">
        <v>1.0772999999999999</v>
      </c>
      <c r="M42" s="115">
        <f t="shared" si="7"/>
        <v>15328</v>
      </c>
      <c r="N42" s="115">
        <f t="shared" si="8"/>
        <v>139340</v>
      </c>
      <c r="O42" s="116"/>
      <c r="P42" s="117">
        <v>0.26</v>
      </c>
      <c r="Q42" s="117"/>
      <c r="R42" s="116"/>
      <c r="S42" s="116">
        <f t="shared" ref="S42:S50" si="10">CEILING($T42*0.1,10)</f>
        <v>3490</v>
      </c>
      <c r="T42" s="118">
        <f t="shared" si="9"/>
        <v>34835</v>
      </c>
      <c r="U42" s="118">
        <f t="shared" si="4"/>
        <v>1672080</v>
      </c>
      <c r="V42" s="119">
        <v>4</v>
      </c>
      <c r="W42" s="118"/>
      <c r="X42" s="5"/>
      <c r="Y42" s="5"/>
    </row>
    <row r="43" spans="1:25" ht="14" x14ac:dyDescent="0.3">
      <c r="A43" s="195"/>
      <c r="B43" s="195"/>
      <c r="C43" s="195"/>
      <c r="D43" s="195"/>
      <c r="E43" s="19"/>
      <c r="F43" s="66">
        <f t="shared" si="1"/>
        <v>2021</v>
      </c>
      <c r="G43" s="167"/>
      <c r="H43" s="168"/>
      <c r="I43" s="69">
        <f t="shared" si="0"/>
        <v>1.2158</v>
      </c>
      <c r="J43" s="70">
        <f t="shared" si="3"/>
        <v>0</v>
      </c>
      <c r="K43" s="109">
        <v>38294</v>
      </c>
      <c r="L43" s="143">
        <v>1.0529999999999999</v>
      </c>
      <c r="M43" s="109">
        <f t="shared" si="7"/>
        <v>15595</v>
      </c>
      <c r="N43" s="109">
        <f t="shared" si="8"/>
        <v>141764</v>
      </c>
      <c r="O43" s="110"/>
      <c r="P43" s="111">
        <v>0.26</v>
      </c>
      <c r="Q43" s="111"/>
      <c r="R43" s="110"/>
      <c r="S43" s="110">
        <f t="shared" si="10"/>
        <v>3550</v>
      </c>
      <c r="T43" s="112">
        <f t="shared" si="9"/>
        <v>35441</v>
      </c>
      <c r="U43" s="112">
        <f t="shared" si="4"/>
        <v>1701168</v>
      </c>
      <c r="V43" s="43">
        <v>4</v>
      </c>
      <c r="W43" s="112"/>
      <c r="X43" s="5"/>
      <c r="Y43" s="5"/>
    </row>
    <row r="44" spans="1:25" ht="14" x14ac:dyDescent="0.3">
      <c r="A44" s="195"/>
      <c r="B44" s="195"/>
      <c r="C44" s="195"/>
      <c r="D44" s="195"/>
      <c r="E44" s="19"/>
      <c r="F44" s="66">
        <f t="shared" si="1"/>
        <v>2022</v>
      </c>
      <c r="G44" s="167"/>
      <c r="H44" s="168"/>
      <c r="I44" s="69">
        <f t="shared" si="0"/>
        <v>1.1456</v>
      </c>
      <c r="J44" s="70">
        <f t="shared" si="3"/>
        <v>0</v>
      </c>
      <c r="K44" s="109">
        <v>40638</v>
      </c>
      <c r="L44" s="143">
        <v>1.0819000000000001</v>
      </c>
      <c r="M44" s="109">
        <f t="shared" si="7"/>
        <v>17121</v>
      </c>
      <c r="N44" s="110">
        <f t="shared" si="8"/>
        <v>155644</v>
      </c>
      <c r="O44" s="111"/>
      <c r="P44" s="111">
        <v>0.26</v>
      </c>
      <c r="Q44" s="110"/>
      <c r="R44" s="110"/>
      <c r="S44" s="112">
        <f t="shared" si="10"/>
        <v>3900</v>
      </c>
      <c r="T44" s="112">
        <f t="shared" si="9"/>
        <v>38911</v>
      </c>
      <c r="U44" s="112">
        <f t="shared" si="4"/>
        <v>1867728</v>
      </c>
      <c r="V44" s="43">
        <v>4</v>
      </c>
      <c r="W44" s="112"/>
      <c r="X44" s="5"/>
      <c r="Y44" s="5"/>
    </row>
    <row r="45" spans="1:25" ht="15" customHeight="1" x14ac:dyDescent="0.3">
      <c r="A45" s="153"/>
      <c r="B45" s="153"/>
      <c r="C45" s="153"/>
      <c r="D45" s="153"/>
      <c r="E45" s="19"/>
      <c r="F45" s="66">
        <f t="shared" si="1"/>
        <v>2023</v>
      </c>
      <c r="G45" s="167"/>
      <c r="H45" s="168"/>
      <c r="I45" s="69">
        <f t="shared" si="0"/>
        <v>1.0658000000000001</v>
      </c>
      <c r="J45" s="70">
        <f t="shared" si="3"/>
        <v>0</v>
      </c>
      <c r="K45" s="182">
        <v>43682</v>
      </c>
      <c r="L45" s="183">
        <v>1.0658000000000001</v>
      </c>
      <c r="M45" s="109">
        <f t="shared" si="7"/>
        <v>17743</v>
      </c>
      <c r="N45" s="110">
        <f t="shared" si="8"/>
        <v>161296</v>
      </c>
      <c r="O45" s="111"/>
      <c r="P45" s="111">
        <v>0.26</v>
      </c>
      <c r="Q45" s="110"/>
      <c r="R45" s="110"/>
      <c r="S45" s="112">
        <f t="shared" si="10"/>
        <v>4040</v>
      </c>
      <c r="T45" s="112">
        <f t="shared" ref="T45" si="11">MAX(CEILING(K43*L43,1),T44)</f>
        <v>40324</v>
      </c>
      <c r="U45" s="112">
        <f t="shared" ref="U45" si="12">T45*V45*12</f>
        <v>1935552</v>
      </c>
      <c r="V45" s="43">
        <v>4</v>
      </c>
      <c r="W45" s="112">
        <v>500</v>
      </c>
      <c r="X45" s="5"/>
      <c r="Y45" s="5"/>
    </row>
    <row r="46" spans="1:25" ht="15.75" customHeight="1" x14ac:dyDescent="0.3">
      <c r="A46" s="153" t="str">
        <f ca="1">IF(RP&lt;2002,OFFSET($X$9,RP-1995,0),"")</f>
        <v/>
      </c>
      <c r="B46" s="153"/>
      <c r="C46" s="153"/>
      <c r="D46" s="153"/>
      <c r="E46" s="19"/>
      <c r="F46" s="66">
        <f t="shared" si="1"/>
        <v>2024</v>
      </c>
      <c r="G46" s="167"/>
      <c r="H46" s="168"/>
      <c r="I46" s="69">
        <f t="shared" si="0"/>
        <v>1</v>
      </c>
      <c r="J46" s="70">
        <f t="shared" si="3"/>
        <v>0</v>
      </c>
      <c r="K46" s="129">
        <f t="shared" ref="K46:K50" si="13">MAX(K45,ROUND(K45*(1+VLOOKUP($F46,odhad,2)/100),0))</f>
        <v>46303</v>
      </c>
      <c r="L46" s="130">
        <f t="shared" ref="L46:L50" si="14">MAX(1,ROUND(1+VLOOKUP($F46+1,odhad,2)/100,4))</f>
        <v>1.05</v>
      </c>
      <c r="M46" s="109">
        <f t="shared" si="7"/>
        <v>19346</v>
      </c>
      <c r="N46" s="110">
        <f t="shared" si="8"/>
        <v>175868</v>
      </c>
      <c r="O46" s="111"/>
      <c r="P46" s="111">
        <v>0.26</v>
      </c>
      <c r="Q46" s="110"/>
      <c r="R46" s="110"/>
      <c r="S46" s="112">
        <f t="shared" si="10"/>
        <v>4400</v>
      </c>
      <c r="T46" s="112">
        <f t="shared" ref="T46" si="15">MAX(CEILING(K44*L44,1),T45)</f>
        <v>43967</v>
      </c>
      <c r="U46" s="112">
        <f t="shared" ref="U46" si="16">T46*V46*12</f>
        <v>2110416</v>
      </c>
      <c r="V46" s="43">
        <v>4</v>
      </c>
      <c r="W46" s="112">
        <v>500</v>
      </c>
      <c r="X46" s="5"/>
      <c r="Y46" s="5"/>
    </row>
    <row r="47" spans="1:25" ht="15.75" customHeight="1" x14ac:dyDescent="0.3">
      <c r="A47" s="153"/>
      <c r="B47" s="153"/>
      <c r="C47" s="153"/>
      <c r="D47" s="153"/>
      <c r="E47" s="19"/>
      <c r="F47" s="66">
        <f t="shared" si="1"/>
        <v>2025</v>
      </c>
      <c r="G47" s="167"/>
      <c r="H47" s="168"/>
      <c r="I47" s="69">
        <f t="shared" si="0"/>
        <v>0.95760000000000001</v>
      </c>
      <c r="J47" s="70">
        <f t="shared" ref="J47:J48" si="17">IF(G47&gt;0,CEILING(MIN($G47,U47)*I47,1),0)</f>
        <v>0</v>
      </c>
      <c r="K47" s="129">
        <f t="shared" si="13"/>
        <v>48618</v>
      </c>
      <c r="L47" s="130">
        <f t="shared" si="14"/>
        <v>1.04</v>
      </c>
      <c r="M47" s="109">
        <f t="shared" si="7"/>
        <v>20486</v>
      </c>
      <c r="N47" s="110">
        <f t="shared" si="8"/>
        <v>186228</v>
      </c>
      <c r="O47" s="111"/>
      <c r="P47" s="111">
        <v>0.26</v>
      </c>
      <c r="Q47" s="110"/>
      <c r="R47" s="110"/>
      <c r="S47" s="112">
        <f t="shared" si="10"/>
        <v>4660</v>
      </c>
      <c r="T47" s="112">
        <f t="shared" ref="T47:T48" si="18">MAX(CEILING(K45*L45,1),T46)</f>
        <v>46557</v>
      </c>
      <c r="U47" s="112">
        <f t="shared" ref="U47:U48" si="19">T47*V47*12</f>
        <v>2234736</v>
      </c>
      <c r="V47" s="43">
        <v>4</v>
      </c>
      <c r="W47" s="112">
        <v>503</v>
      </c>
      <c r="X47" s="5"/>
      <c r="Y47" s="5"/>
    </row>
    <row r="48" spans="1:25" ht="14" x14ac:dyDescent="0.3">
      <c r="A48" s="206" t="str">
        <f>IF(RP&gt;maxB,X19,"")</f>
        <v/>
      </c>
      <c r="B48" s="207"/>
      <c r="C48" s="207"/>
      <c r="D48" s="207"/>
      <c r="E48" s="19"/>
      <c r="F48" s="66">
        <f t="shared" si="1"/>
        <v>2026</v>
      </c>
      <c r="G48" s="167"/>
      <c r="H48" s="168"/>
      <c r="I48" s="69">
        <f t="shared" si="0"/>
        <v>0.92079999999999995</v>
      </c>
      <c r="J48" s="70">
        <f t="shared" si="17"/>
        <v>0</v>
      </c>
      <c r="K48" s="129">
        <f t="shared" si="13"/>
        <v>50563</v>
      </c>
      <c r="L48" s="130">
        <f t="shared" si="14"/>
        <v>1.03</v>
      </c>
      <c r="M48" s="109">
        <f t="shared" si="7"/>
        <v>21393</v>
      </c>
      <c r="N48" s="110">
        <f t="shared" si="8"/>
        <v>194476</v>
      </c>
      <c r="O48" s="111"/>
      <c r="P48" s="111">
        <v>0.26</v>
      </c>
      <c r="Q48" s="110"/>
      <c r="R48" s="110"/>
      <c r="S48" s="112">
        <f t="shared" si="10"/>
        <v>4870</v>
      </c>
      <c r="T48" s="112">
        <f t="shared" si="18"/>
        <v>48619</v>
      </c>
      <c r="U48" s="112">
        <f t="shared" si="19"/>
        <v>2333712</v>
      </c>
      <c r="V48" s="43">
        <v>4</v>
      </c>
      <c r="W48" s="112">
        <v>503</v>
      </c>
      <c r="X48" s="5"/>
      <c r="Y48" s="5"/>
    </row>
    <row r="49" spans="1:25" ht="15" customHeight="1" x14ac:dyDescent="0.3">
      <c r="A49" s="207"/>
      <c r="B49" s="207"/>
      <c r="C49" s="207"/>
      <c r="D49" s="207"/>
      <c r="E49" s="19"/>
      <c r="F49" s="66">
        <f t="shared" si="1"/>
        <v>2027</v>
      </c>
      <c r="G49" s="167"/>
      <c r="H49" s="168"/>
      <c r="I49" s="69">
        <f t="shared" ref="I49" si="20">IF(F49=RP-1,1,ROUND($L$7/K49,4))</f>
        <v>0.89390000000000003</v>
      </c>
      <c r="J49" s="70">
        <f t="shared" ref="J49" si="21">IF(G49&gt;0,CEILING(MIN($G49,U49)*I49,1),0)</f>
        <v>0</v>
      </c>
      <c r="K49" s="129">
        <f t="shared" si="13"/>
        <v>52080</v>
      </c>
      <c r="L49" s="130">
        <f t="shared" si="14"/>
        <v>1.02</v>
      </c>
      <c r="M49" s="109">
        <f t="shared" si="7"/>
        <v>22248</v>
      </c>
      <c r="N49" s="110">
        <f t="shared" si="8"/>
        <v>202252</v>
      </c>
      <c r="O49" s="111"/>
      <c r="P49" s="111">
        <v>0.26</v>
      </c>
      <c r="Q49" s="110"/>
      <c r="R49" s="110"/>
      <c r="S49" s="112">
        <f t="shared" si="10"/>
        <v>5060</v>
      </c>
      <c r="T49" s="112">
        <f t="shared" ref="T49" si="22">MAX(CEILING(K47*L47,1),T48)</f>
        <v>50563</v>
      </c>
      <c r="U49" s="112">
        <f t="shared" ref="U49" si="23">T49*V49*12</f>
        <v>2427024</v>
      </c>
      <c r="V49" s="43">
        <v>4</v>
      </c>
      <c r="W49" s="112">
        <v>503</v>
      </c>
      <c r="X49" s="5"/>
      <c r="Y49" s="5"/>
    </row>
    <row r="50" spans="1:25" ht="14" x14ac:dyDescent="0.3">
      <c r="A50" s="207"/>
      <c r="B50" s="207"/>
      <c r="C50" s="207"/>
      <c r="D50" s="207"/>
      <c r="E50" s="19"/>
      <c r="F50" s="66">
        <f t="shared" si="1"/>
        <v>2028</v>
      </c>
      <c r="G50" s="167"/>
      <c r="H50" s="168"/>
      <c r="I50" s="69">
        <f t="shared" ref="I50" si="24">IF(F50=RP-1,1,ROUND($L$7/K50,4))</f>
        <v>0.87639999999999996</v>
      </c>
      <c r="J50" s="70">
        <f t="shared" ref="J50" si="25">IF(G50&gt;0,CEILING(MIN($G50,U50)*I50,1),0)</f>
        <v>0</v>
      </c>
      <c r="K50" s="129">
        <f t="shared" si="13"/>
        <v>53122</v>
      </c>
      <c r="L50" s="130">
        <f t="shared" si="14"/>
        <v>1.01</v>
      </c>
      <c r="M50" s="109">
        <f t="shared" si="7"/>
        <v>22916</v>
      </c>
      <c r="N50" s="110">
        <f t="shared" si="8"/>
        <v>208320</v>
      </c>
      <c r="O50" s="111"/>
      <c r="P50" s="111">
        <v>0.26</v>
      </c>
      <c r="Q50" s="110"/>
      <c r="R50" s="110"/>
      <c r="S50" s="112">
        <f t="shared" si="10"/>
        <v>5210</v>
      </c>
      <c r="T50" s="112">
        <f t="shared" ref="T50" si="26">MAX(CEILING(K48*L48,1),T49)</f>
        <v>52080</v>
      </c>
      <c r="U50" s="112">
        <f t="shared" ref="U50" si="27">T50*V50*12</f>
        <v>2499840</v>
      </c>
      <c r="V50" s="43">
        <v>4</v>
      </c>
      <c r="W50" s="112">
        <v>503</v>
      </c>
      <c r="X50" s="5"/>
      <c r="Y50" s="5"/>
    </row>
    <row r="51" spans="1:25" ht="14" x14ac:dyDescent="0.3">
      <c r="A51" s="207"/>
      <c r="B51" s="207"/>
      <c r="C51" s="207"/>
      <c r="D51" s="207"/>
      <c r="E51" s="19"/>
      <c r="F51" s="66">
        <f t="shared" si="1"/>
        <v>2029</v>
      </c>
      <c r="G51" s="67"/>
      <c r="H51" s="68"/>
      <c r="I51" s="69"/>
      <c r="J51" s="70"/>
      <c r="K51" s="129"/>
      <c r="L51" s="130"/>
      <c r="M51" s="109"/>
      <c r="N51" s="110"/>
      <c r="O51" s="111"/>
      <c r="P51" s="111"/>
      <c r="Q51" s="110"/>
      <c r="R51" s="110"/>
      <c r="S51" s="112"/>
      <c r="T51" s="112"/>
      <c r="U51" s="112"/>
      <c r="V51" s="43"/>
      <c r="W51" s="112"/>
      <c r="X51" s="5"/>
      <c r="Y51" s="5"/>
    </row>
    <row r="52" spans="1:25" ht="14.5" thickBot="1" x14ac:dyDescent="0.35">
      <c r="A52" s="161"/>
      <c r="B52" s="161"/>
      <c r="C52" s="161"/>
      <c r="D52" s="161"/>
      <c r="E52" s="19"/>
      <c r="F52" s="66"/>
      <c r="G52" s="67"/>
      <c r="H52" s="68"/>
      <c r="I52" s="69"/>
      <c r="J52" s="70"/>
      <c r="K52" s="129"/>
      <c r="L52" s="130"/>
      <c r="M52" s="109">
        <f>VLOOKUP(RP,MTC,8)</f>
        <v>20486</v>
      </c>
      <c r="N52" s="110">
        <f>VLOOKUP(RP,MTC,9)</f>
        <v>186228</v>
      </c>
      <c r="O52" s="111">
        <f>VLOOKUP(RP,MTC,10)</f>
        <v>0</v>
      </c>
      <c r="P52" s="111">
        <f>VLOOKUP(RP,MTC,11)</f>
        <v>0.26</v>
      </c>
      <c r="Q52" s="110">
        <f>VLOOKUP(RP,MTC,12)</f>
        <v>0</v>
      </c>
      <c r="R52" s="110">
        <f>VLOOKUP(RP,MTC,13)</f>
        <v>0</v>
      </c>
      <c r="S52" s="112">
        <f ca="1">IF(ovz&lt;=M52,ovz,M52+(MIN(ovz,N52)-M52)*P52)</f>
        <v>0</v>
      </c>
      <c r="T52" s="112">
        <f ca="1">IF(OR(ovz&lt;=N52,RP&gt;2014),0,IF(US=0,(ovz-N52)*Q52,(MIN(ovz,O52)-N52)*Q52+IF(ovz&gt;O52,(ovz-O52)*R52,0)))</f>
        <v>0</v>
      </c>
      <c r="U52" s="112"/>
      <c r="V52" s="43"/>
      <c r="W52" s="112"/>
      <c r="X52" s="132"/>
      <c r="Y52" s="132"/>
    </row>
    <row r="53" spans="1:25" ht="14" x14ac:dyDescent="0.3">
      <c r="A53" s="153" t="str">
        <f>IF(M56&gt;0,M54&amp;M55,"")</f>
        <v/>
      </c>
      <c r="B53" s="153"/>
      <c r="C53" s="153"/>
      <c r="D53" s="153"/>
      <c r="E53" s="19"/>
      <c r="F53" s="200" t="s">
        <v>79</v>
      </c>
      <c r="G53" s="201"/>
      <c r="H53" s="196" t="str">
        <f>"Parametry výpočtu výše důchodu se podle zákona stanoví na základě statistických údajů o výši průměrné mzdy. Pro důchody přiznané po roce "&amp;maxB&amp;" se proto při výpočtu  musí vycházet z odhadovaného růstu průměrné mzdy. Vámi odhadovaný růst průměrné mzdy vložte prosím do zelených buněk vlevo."</f>
        <v>Parametry výpočtu výše důchodu se podle zákona stanoví na základě statistických údajů o výši průměrné mzdy. Pro důchody přiznané po roce 2025 se proto při výpočtu  musí vycházet z odhadovaného růstu průměrné mzdy. Vámi odhadovaný růst průměrné mzdy vložte prosím do zelených buněk vlevo.</v>
      </c>
      <c r="I53" s="197"/>
      <c r="J53" s="197"/>
      <c r="K53" s="197"/>
      <c r="L53" s="197"/>
      <c r="O53" s="2"/>
      <c r="P53" s="2"/>
      <c r="Q53" s="2"/>
      <c r="R53" s="2"/>
      <c r="S53" s="2"/>
      <c r="T53" s="2"/>
      <c r="U53" s="5"/>
      <c r="V53" s="97"/>
      <c r="W53" s="97"/>
    </row>
    <row r="54" spans="1:25" ht="14" x14ac:dyDescent="0.3">
      <c r="A54" s="153"/>
      <c r="B54" s="153"/>
      <c r="C54" s="153"/>
      <c r="D54" s="153"/>
      <c r="E54" s="19"/>
      <c r="F54" s="202" t="s">
        <v>82</v>
      </c>
      <c r="G54" s="203"/>
      <c r="H54" s="198"/>
      <c r="I54" s="199"/>
      <c r="J54" s="199"/>
      <c r="K54" s="199"/>
      <c r="L54" s="199"/>
      <c r="M54" s="152" t="str">
        <f>IF(RP&gt;maxB,"POZOR ! Opravdu předpokládáte takovýto růst průměrné mzdy?","")</f>
        <v/>
      </c>
      <c r="N54" s="2"/>
      <c r="O54" s="2"/>
      <c r="P54" s="2"/>
      <c r="Q54" s="2"/>
      <c r="R54" s="2"/>
      <c r="S54" s="2"/>
      <c r="T54" s="2"/>
      <c r="U54" s="5"/>
      <c r="V54" s="97"/>
      <c r="W54" s="97"/>
    </row>
    <row r="55" spans="1:25" ht="14.5" thickBot="1" x14ac:dyDescent="0.35">
      <c r="A55" s="153"/>
      <c r="B55" s="153"/>
      <c r="C55" s="153"/>
      <c r="D55" s="153"/>
      <c r="E55" s="19"/>
      <c r="F55" s="204"/>
      <c r="G55" s="205"/>
      <c r="H55" s="198"/>
      <c r="I55" s="199"/>
      <c r="J55" s="199"/>
      <c r="K55" s="199"/>
      <c r="L55" s="199"/>
      <c r="M55" s="2" t="str">
        <f>O63&amp;O62&amp;O61&amp;O60&amp;O59&amp;O58&amp;O57</f>
        <v xml:space="preserve">       </v>
      </c>
      <c r="N55" s="2"/>
      <c r="O55" s="2"/>
      <c r="P55" s="2"/>
      <c r="Q55" s="2"/>
      <c r="R55" s="2"/>
      <c r="S55" s="2"/>
      <c r="T55" s="5"/>
      <c r="U55" s="97"/>
      <c r="V55" s="5"/>
      <c r="W55" s="5"/>
    </row>
    <row r="56" spans="1:25" ht="14.5" thickBot="1" x14ac:dyDescent="0.35">
      <c r="A56" s="153" t="str">
        <f>IF(RP=2001,"Po 30.6.2001 bylo snížení u předčasného důchodu 0,9% a 1,3%","")</f>
        <v/>
      </c>
      <c r="B56" s="153"/>
      <c r="C56" s="153"/>
      <c r="D56" s="153"/>
      <c r="E56" s="19"/>
      <c r="F56" s="133" t="s">
        <v>80</v>
      </c>
      <c r="G56" s="134" t="s">
        <v>81</v>
      </c>
      <c r="H56" s="198"/>
      <c r="I56" s="199"/>
      <c r="J56" s="199"/>
      <c r="K56" s="199"/>
      <c r="L56" s="199"/>
      <c r="M56" s="144">
        <f>SUM(M64:M64)</f>
        <v>0</v>
      </c>
      <c r="N56" s="11">
        <f>COUNTIF(N64:N64,"&gt;0")</f>
        <v>0</v>
      </c>
      <c r="O56" s="2"/>
      <c r="Q56" s="2" t="s">
        <v>90</v>
      </c>
      <c r="R56" s="2"/>
      <c r="S56" s="2"/>
      <c r="T56" s="5"/>
      <c r="U56" s="97"/>
      <c r="V56" s="5"/>
      <c r="W56" s="5"/>
    </row>
    <row r="57" spans="1:25" ht="15.75" customHeight="1" x14ac:dyDescent="0.3">
      <c r="A57" s="153"/>
      <c r="B57" s="153"/>
      <c r="C57" s="153"/>
      <c r="D57" s="153"/>
      <c r="F57" s="135">
        <f>maxB-1</f>
        <v>2024</v>
      </c>
      <c r="G57" s="181">
        <v>6</v>
      </c>
      <c r="H57" s="198"/>
      <c r="I57" s="199"/>
      <c r="J57" s="199"/>
      <c r="K57" s="199"/>
      <c r="L57" s="199"/>
      <c r="M57" s="11">
        <f>F57*(F57&lt;RP)*(RP&gt;maxB)*OR(G57&lt;R57,G57&gt;R58)</f>
        <v>0</v>
      </c>
      <c r="N57" s="11">
        <f>LARGE($M$57:$M$63,1)</f>
        <v>0</v>
      </c>
      <c r="O57" s="2" t="str">
        <f t="shared" ref="O57:O63" si="28">IF(N57=0," ",N57&amp;"=??  ")</f>
        <v xml:space="preserve"> </v>
      </c>
      <c r="Q57" s="2" t="s">
        <v>91</v>
      </c>
      <c r="R57" s="136">
        <v>0.1</v>
      </c>
      <c r="S57" s="2"/>
      <c r="T57" s="5"/>
      <c r="U57" s="97"/>
      <c r="V57" s="5"/>
      <c r="W57" s="5"/>
    </row>
    <row r="58" spans="1:25" ht="14" x14ac:dyDescent="0.3">
      <c r="A58" s="153" t="str">
        <f>IF(RP=1996,X9," ")</f>
        <v xml:space="preserve"> </v>
      </c>
      <c r="B58" s="153"/>
      <c r="C58" s="153"/>
      <c r="D58" s="153"/>
      <c r="F58" s="135">
        <f t="shared" ref="F58:F63" si="29">F57+1</f>
        <v>2025</v>
      </c>
      <c r="G58" s="181">
        <v>5</v>
      </c>
      <c r="H58" s="137"/>
      <c r="I58" s="138"/>
      <c r="J58" s="138"/>
      <c r="K58" s="138"/>
      <c r="L58" s="138"/>
      <c r="M58" s="11">
        <f>F58*(F58&lt;RP)*(RP&gt;maxB)*OR(G58&lt;R57,G58&gt;R58)</f>
        <v>0</v>
      </c>
      <c r="N58" s="11">
        <f>LARGE($M$57:$M$63,2)</f>
        <v>0</v>
      </c>
      <c r="O58" s="2" t="str">
        <f t="shared" si="28"/>
        <v xml:space="preserve"> </v>
      </c>
      <c r="Q58" s="2" t="s">
        <v>92</v>
      </c>
      <c r="R58" s="136">
        <v>9</v>
      </c>
      <c r="S58" s="2"/>
      <c r="T58" s="5"/>
      <c r="U58" s="97"/>
      <c r="V58" s="5"/>
      <c r="W58" s="5"/>
    </row>
    <row r="59" spans="1:25" ht="14" x14ac:dyDescent="0.3">
      <c r="A59" s="153"/>
      <c r="B59" s="153"/>
      <c r="C59" s="153"/>
      <c r="D59" s="153"/>
      <c r="F59" s="135">
        <f t="shared" si="29"/>
        <v>2026</v>
      </c>
      <c r="G59" s="181">
        <v>4</v>
      </c>
      <c r="H59" s="137"/>
      <c r="I59" s="138"/>
      <c r="J59" s="138"/>
      <c r="K59" s="138"/>
      <c r="L59" s="138"/>
      <c r="M59" s="11">
        <f>F59*(F59&lt;RP)*(RP&gt;maxB)*OR(G59&lt;R57,G59&gt;R58)</f>
        <v>0</v>
      </c>
      <c r="N59" s="11">
        <f>LARGE($M$57:$M$63,3)</f>
        <v>0</v>
      </c>
      <c r="O59" s="2" t="str">
        <f t="shared" si="28"/>
        <v xml:space="preserve"> </v>
      </c>
      <c r="P59" s="2"/>
      <c r="Q59" s="2"/>
      <c r="R59" s="2"/>
      <c r="S59" s="2"/>
      <c r="T59" s="5"/>
      <c r="U59" s="5"/>
      <c r="V59" s="5"/>
      <c r="W59" s="5"/>
    </row>
    <row r="60" spans="1:25" ht="14" x14ac:dyDescent="0.3">
      <c r="F60" s="135">
        <f t="shared" si="29"/>
        <v>2027</v>
      </c>
      <c r="G60" s="181">
        <v>3</v>
      </c>
      <c r="H60" s="137"/>
      <c r="I60" s="138"/>
      <c r="J60" s="138"/>
      <c r="K60" s="138"/>
      <c r="L60" s="138"/>
      <c r="M60" s="11">
        <f>F60*(F60&lt;RP)*(RP&gt;maxB)*OR(G60&lt;R57,G60&gt;R58)</f>
        <v>0</v>
      </c>
      <c r="N60" s="11">
        <f>LARGE($M$57:$M$63,4)</f>
        <v>0</v>
      </c>
      <c r="O60" s="2" t="str">
        <f t="shared" si="28"/>
        <v xml:space="preserve"> </v>
      </c>
      <c r="P60" s="2"/>
      <c r="Q60" s="2"/>
      <c r="R60" s="2"/>
      <c r="S60" s="2"/>
      <c r="T60" s="5"/>
      <c r="U60" s="5"/>
      <c r="V60" s="5"/>
      <c r="W60" s="5"/>
    </row>
    <row r="61" spans="1:25" ht="14" x14ac:dyDescent="0.3">
      <c r="F61" s="135">
        <f t="shared" si="29"/>
        <v>2028</v>
      </c>
      <c r="G61" s="181">
        <v>2</v>
      </c>
      <c r="H61" s="137"/>
      <c r="I61" s="138"/>
      <c r="J61" s="138"/>
      <c r="K61" s="138"/>
      <c r="L61" s="138"/>
      <c r="M61" s="11">
        <f>F61*(F61&lt;RP)*(RP&gt;maxB)*OR(G61&lt;R57,G61&gt;R58)</f>
        <v>0</v>
      </c>
      <c r="N61" s="11">
        <f>LARGE($M$57:$M$63,5)</f>
        <v>0</v>
      </c>
      <c r="O61" s="2" t="str">
        <f t="shared" si="28"/>
        <v xml:space="preserve"> </v>
      </c>
      <c r="P61" s="2"/>
      <c r="Q61" s="2"/>
      <c r="R61" s="2"/>
      <c r="S61" s="2"/>
      <c r="T61" s="5"/>
      <c r="U61" s="5"/>
      <c r="V61" s="5"/>
      <c r="W61" s="5"/>
    </row>
    <row r="62" spans="1:25" ht="14" x14ac:dyDescent="0.3">
      <c r="F62" s="135">
        <f t="shared" si="29"/>
        <v>2029</v>
      </c>
      <c r="G62" s="136">
        <v>1</v>
      </c>
      <c r="H62" s="137"/>
      <c r="I62" s="138"/>
      <c r="J62" s="138"/>
      <c r="K62" s="138"/>
      <c r="L62" s="138"/>
      <c r="M62" s="11">
        <f>F62*(F62&lt;RP)*(RP&gt;maxB)*OR(G62&lt;R57,G62&gt;R58)</f>
        <v>0</v>
      </c>
      <c r="N62" s="11">
        <f>LARGE($M$57:$M$63,6)</f>
        <v>0</v>
      </c>
      <c r="O62" s="2" t="str">
        <f t="shared" si="28"/>
        <v xml:space="preserve"> </v>
      </c>
      <c r="P62" s="2"/>
      <c r="Q62" s="2"/>
      <c r="R62" s="2"/>
      <c r="S62" s="2"/>
      <c r="T62" s="5"/>
      <c r="U62" s="5"/>
      <c r="V62" s="5"/>
      <c r="W62" s="5"/>
    </row>
    <row r="63" spans="1:25" ht="14" x14ac:dyDescent="0.3">
      <c r="F63" s="135">
        <f t="shared" si="29"/>
        <v>2030</v>
      </c>
      <c r="G63" s="136">
        <v>0</v>
      </c>
      <c r="H63" s="137"/>
      <c r="I63" s="138"/>
      <c r="J63" s="138"/>
      <c r="K63" s="138"/>
      <c r="L63" s="138"/>
      <c r="M63" s="11">
        <f>F63*(F63&lt;RP)*(RP&gt;maxB)*OR(G63&lt;R57,G63&gt;R58)</f>
        <v>0</v>
      </c>
      <c r="N63" s="11">
        <f>LARGE($M$57:$M$63,7)</f>
        <v>0</v>
      </c>
      <c r="O63" s="2" t="str">
        <f t="shared" si="28"/>
        <v xml:space="preserve"> </v>
      </c>
      <c r="P63" s="2"/>
      <c r="Q63" s="2"/>
      <c r="R63" s="2"/>
      <c r="S63" s="2"/>
      <c r="T63" s="2"/>
      <c r="U63" s="5"/>
      <c r="V63" s="5"/>
      <c r="W63" s="5"/>
    </row>
    <row r="64" spans="1:25" ht="14.5" thickBot="1" x14ac:dyDescent="0.35">
      <c r="F64" s="139"/>
      <c r="G64" s="140" t="s">
        <v>93</v>
      </c>
      <c r="H64" s="141"/>
      <c r="I64" s="141"/>
      <c r="J64" s="141"/>
      <c r="K64" s="141"/>
      <c r="L64" s="141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</row>
    <row r="69" spans="1:1" x14ac:dyDescent="0.3">
      <c r="A69" s="150"/>
    </row>
  </sheetData>
  <sheetProtection algorithmName="SHA-512" hashValue="VucSOPv6aNRSkVtVrJ+YCBosenXQr5nTitMZ+Ri0fkCRF8pDAUc9BulDlD+1jnFY2uALLIaaROjUfFuq8SR93w==" saltValue="sTrPWgm0uxbcsRbHXtwp7w==" spinCount="100000" sheet="1" selectLockedCells="1"/>
  <mergeCells count="9">
    <mergeCell ref="V5:V6"/>
    <mergeCell ref="B1:K1"/>
    <mergeCell ref="A2:J2"/>
    <mergeCell ref="A21:D23"/>
    <mergeCell ref="A42:D44"/>
    <mergeCell ref="H53:L57"/>
    <mergeCell ref="F53:G53"/>
    <mergeCell ref="F54:G55"/>
    <mergeCell ref="A48:D51"/>
  </mergeCells>
  <phoneticPr fontId="0" type="noConversion"/>
  <conditionalFormatting sqref="F8:J42 F47:J52">
    <cfRule type="expression" dxfId="109" priority="121" stopIfTrue="1">
      <formula>OR($F8&gt;=RP,$F8=0)</formula>
    </cfRule>
  </conditionalFormatting>
  <conditionalFormatting sqref="J3">
    <cfRule type="expression" dxfId="108" priority="122" stopIfTrue="1">
      <formula>$D$3=2011</formula>
    </cfRule>
    <cfRule type="expression" dxfId="107" priority="123" stopIfTrue="1">
      <formula>$D$3&lt;&gt;2011</formula>
    </cfRule>
  </conditionalFormatting>
  <conditionalFormatting sqref="F47:J47 F8:W42 F48:W52">
    <cfRule type="expression" dxfId="106" priority="124" stopIfTrue="1">
      <formula>RP&lt;1996</formula>
    </cfRule>
  </conditionalFormatting>
  <conditionalFormatting sqref="A42">
    <cfRule type="expression" dxfId="105" priority="125" stopIfTrue="1">
      <formula>$X$3&gt;1</formula>
    </cfRule>
  </conditionalFormatting>
  <conditionalFormatting sqref="D7 D10:D11">
    <cfRule type="cellIs" dxfId="104" priority="126" stopIfTrue="1" operator="lessThan">
      <formula>0</formula>
    </cfRule>
  </conditionalFormatting>
  <conditionalFormatting sqref="D19">
    <cfRule type="expression" dxfId="103" priority="128" stopIfTrue="1">
      <formula>RP&gt;2006</formula>
    </cfRule>
    <cfRule type="expression" dxfId="102" priority="129" stopIfTrue="1">
      <formula>OR($D$19&gt;9,$D$19&lt;0)</formula>
    </cfRule>
  </conditionalFormatting>
  <conditionalFormatting sqref="D13 D15">
    <cfRule type="expression" dxfId="101" priority="130" stopIfTrue="1">
      <formula>RP&lt;2010</formula>
    </cfRule>
    <cfRule type="cellIs" dxfId="100" priority="131" stopIfTrue="1" operator="lessThan">
      <formula>0</formula>
    </cfRule>
  </conditionalFormatting>
  <conditionalFormatting sqref="A48">
    <cfRule type="expression" dxfId="99" priority="132" stopIfTrue="1">
      <formula>RP&gt;maxB</formula>
    </cfRule>
  </conditionalFormatting>
  <conditionalFormatting sqref="A38:D41">
    <cfRule type="expression" dxfId="98" priority="133" stopIfTrue="1">
      <formula>OR($X$3&gt;2,RP&gt;max)</formula>
    </cfRule>
    <cfRule type="expression" dxfId="97" priority="134" stopIfTrue="1">
      <formula>RP&gt;maxB</formula>
    </cfRule>
  </conditionalFormatting>
  <conditionalFormatting sqref="F56:G56 F53:F54 H53">
    <cfRule type="expression" dxfId="96" priority="137" stopIfTrue="1">
      <formula>RP&lt;maxB+1</formula>
    </cfRule>
  </conditionalFormatting>
  <conditionalFormatting sqref="F57:G64 M64:W64">
    <cfRule type="expression" dxfId="95" priority="138" stopIfTrue="1">
      <formula>OR(RP&lt;maxB+1,$F57&gt;RP-1)</formula>
    </cfRule>
  </conditionalFormatting>
  <conditionalFormatting sqref="L38">
    <cfRule type="expression" dxfId="94" priority="139" stopIfTrue="1">
      <formula>OR($F36&gt;=RP,$F36=0)</formula>
    </cfRule>
  </conditionalFormatting>
  <conditionalFormatting sqref="M8:W42 L48:W52">
    <cfRule type="expression" dxfId="93" priority="118" stopIfTrue="1">
      <formula>OR($F8&gt;RP,$F8=0)</formula>
    </cfRule>
  </conditionalFormatting>
  <conditionalFormatting sqref="K8:L42 K48:L52">
    <cfRule type="expression" dxfId="92" priority="117" stopIfTrue="1">
      <formula>OR($F8&gt;RP-2,$F8=0)</formula>
    </cfRule>
  </conditionalFormatting>
  <conditionalFormatting sqref="X64:Y64">
    <cfRule type="expression" dxfId="91" priority="149" stopIfTrue="1">
      <formula>OR(RP&lt;maxB+1,$F64&gt;RP-1)</formula>
    </cfRule>
  </conditionalFormatting>
  <conditionalFormatting sqref="F43:J43">
    <cfRule type="expression" dxfId="90" priority="111" stopIfTrue="1">
      <formula>OR($F43&gt;=RP,$F43=0)</formula>
    </cfRule>
  </conditionalFormatting>
  <conditionalFormatting sqref="F43:K43 K44 M43:W43">
    <cfRule type="expression" dxfId="89" priority="112" stopIfTrue="1">
      <formula>RP&lt;1996</formula>
    </cfRule>
  </conditionalFormatting>
  <conditionalFormatting sqref="M43:W43">
    <cfRule type="expression" dxfId="88" priority="110" stopIfTrue="1">
      <formula>OR($F43&gt;RP,$F43=0)</formula>
    </cfRule>
  </conditionalFormatting>
  <conditionalFormatting sqref="K43:K44">
    <cfRule type="expression" dxfId="87" priority="109" stopIfTrue="1">
      <formula>OR($F43&gt;RP-2,$F43=0)</formula>
    </cfRule>
  </conditionalFormatting>
  <conditionalFormatting sqref="F44:J44">
    <cfRule type="expression" dxfId="86" priority="105" stopIfTrue="1">
      <formula>OR($F44&gt;=RP,$F44=0)</formula>
    </cfRule>
  </conditionalFormatting>
  <conditionalFormatting sqref="F44:J44 V44 M44:T44">
    <cfRule type="expression" dxfId="85" priority="106" stopIfTrue="1">
      <formula>RP&lt;1996</formula>
    </cfRule>
  </conditionalFormatting>
  <conditionalFormatting sqref="M44:T44 V44">
    <cfRule type="expression" dxfId="84" priority="104" stopIfTrue="1">
      <formula>OR($F44&gt;RP,$F44=0)</formula>
    </cfRule>
  </conditionalFormatting>
  <conditionalFormatting sqref="L43:L45">
    <cfRule type="expression" dxfId="83" priority="102" stopIfTrue="1">
      <formula>RP&lt;1996</formula>
    </cfRule>
  </conditionalFormatting>
  <conditionalFormatting sqref="L43:L45">
    <cfRule type="expression" dxfId="82" priority="101" stopIfTrue="1">
      <formula>OR($F43&gt;RP-2,$F43=0)</formula>
    </cfRule>
  </conditionalFormatting>
  <conditionalFormatting sqref="U44">
    <cfRule type="expression" dxfId="81" priority="98" stopIfTrue="1">
      <formula>RP&lt;1996</formula>
    </cfRule>
  </conditionalFormatting>
  <conditionalFormatting sqref="U44">
    <cfRule type="expression" dxfId="80" priority="97" stopIfTrue="1">
      <formula>OR($F44&gt;RP,$F44=0)</formula>
    </cfRule>
  </conditionalFormatting>
  <conditionalFormatting sqref="D29">
    <cfRule type="expression" dxfId="79" priority="150" stopIfTrue="1">
      <formula>#REF!&gt;MAX($J:$J)+1</formula>
    </cfRule>
  </conditionalFormatting>
  <conditionalFormatting sqref="U45">
    <cfRule type="expression" dxfId="78" priority="87" stopIfTrue="1">
      <formula>RP&lt;1996</formula>
    </cfRule>
  </conditionalFormatting>
  <conditionalFormatting sqref="F45:J45">
    <cfRule type="expression" dxfId="77" priority="90" stopIfTrue="1">
      <formula>OR($F45&gt;=RP,$F45=0)</formula>
    </cfRule>
  </conditionalFormatting>
  <conditionalFormatting sqref="F45:T45 V45">
    <cfRule type="expression" dxfId="76" priority="91" stopIfTrue="1">
      <formula>RP&lt;1996</formula>
    </cfRule>
  </conditionalFormatting>
  <conditionalFormatting sqref="L45:T45 V45">
    <cfRule type="expression" dxfId="75" priority="89" stopIfTrue="1">
      <formula>OR($F45&gt;RP,$F45=0)</formula>
    </cfRule>
  </conditionalFormatting>
  <conditionalFormatting sqref="K45:L45">
    <cfRule type="expression" dxfId="74" priority="88" stopIfTrue="1">
      <formula>OR($F45&gt;RP-2,$F45=0)</formula>
    </cfRule>
  </conditionalFormatting>
  <conditionalFormatting sqref="U45">
    <cfRule type="expression" dxfId="73" priority="86" stopIfTrue="1">
      <formula>OR($F45&gt;RP,$F45=0)</formula>
    </cfRule>
  </conditionalFormatting>
  <conditionalFormatting sqref="U46:U48">
    <cfRule type="expression" dxfId="72" priority="81" stopIfTrue="1">
      <formula>RP&lt;1996</formula>
    </cfRule>
  </conditionalFormatting>
  <conditionalFormatting sqref="F46:H48 J46:J48">
    <cfRule type="expression" dxfId="71" priority="84" stopIfTrue="1">
      <formula>OR($F46&gt;=RP,$F46=0)</formula>
    </cfRule>
  </conditionalFormatting>
  <conditionalFormatting sqref="F46:H48 V46:V48 J46:J48 M46:T48">
    <cfRule type="expression" dxfId="70" priority="85" stopIfTrue="1">
      <formula>RP&lt;1996</formula>
    </cfRule>
  </conditionalFormatting>
  <conditionalFormatting sqref="M46:T48 V46:V48">
    <cfRule type="expression" dxfId="69" priority="83" stopIfTrue="1">
      <formula>OR($F46&gt;RP,$F46=0)</formula>
    </cfRule>
  </conditionalFormatting>
  <conditionalFormatting sqref="U46:U48">
    <cfRule type="expression" dxfId="68" priority="80" stopIfTrue="1">
      <formula>OR($F46&gt;RP,$F46=0)</formula>
    </cfRule>
  </conditionalFormatting>
  <conditionalFormatting sqref="R57:R58">
    <cfRule type="expression" dxfId="67" priority="79" stopIfTrue="1">
      <formula>OR(RP&lt;maxB+1,$F57&gt;RP-1)</formula>
    </cfRule>
  </conditionalFormatting>
  <conditionalFormatting sqref="I46:I48">
    <cfRule type="expression" dxfId="66" priority="77" stopIfTrue="1">
      <formula>OR($F46&gt;=RP,$F46=0)</formula>
    </cfRule>
  </conditionalFormatting>
  <conditionalFormatting sqref="I46:I48">
    <cfRule type="expression" dxfId="65" priority="78" stopIfTrue="1">
      <formula>RP&lt;1996</formula>
    </cfRule>
  </conditionalFormatting>
  <conditionalFormatting sqref="U47">
    <cfRule type="expression" dxfId="64" priority="73" stopIfTrue="1">
      <formula>RP&lt;1996</formula>
    </cfRule>
  </conditionalFormatting>
  <conditionalFormatting sqref="V47 K47:T47">
    <cfRule type="expression" dxfId="63" priority="76" stopIfTrue="1">
      <formula>RP&lt;1996</formula>
    </cfRule>
  </conditionalFormatting>
  <conditionalFormatting sqref="L47:T47 V47">
    <cfRule type="expression" dxfId="62" priority="75" stopIfTrue="1">
      <formula>OR($F47&gt;RP,$F47=0)</formula>
    </cfRule>
  </conditionalFormatting>
  <conditionalFormatting sqref="K47:L47">
    <cfRule type="expression" dxfId="61" priority="74" stopIfTrue="1">
      <formula>OR($F47&gt;RP-2,$F47=0)</formula>
    </cfRule>
  </conditionalFormatting>
  <conditionalFormatting sqref="U47">
    <cfRule type="expression" dxfId="60" priority="72" stopIfTrue="1">
      <formula>OR($F47&gt;RP,$F47=0)</formula>
    </cfRule>
  </conditionalFormatting>
  <conditionalFormatting sqref="D4:H4">
    <cfRule type="expression" dxfId="59" priority="61" stopIfTrue="1">
      <formula>OR(RP&lt;2004,RP&gt;max)</formula>
    </cfRule>
    <cfRule type="expression" dxfId="58" priority="62" stopIfTrue="1">
      <formula>AND(RP&gt;maxB,RP&lt;max+1)</formula>
    </cfRule>
  </conditionalFormatting>
  <conditionalFormatting sqref="L46:L48">
    <cfRule type="expression" dxfId="57" priority="60" stopIfTrue="1">
      <formula>RP&lt;1996</formula>
    </cfRule>
  </conditionalFormatting>
  <conditionalFormatting sqref="L46:L48">
    <cfRule type="expression" dxfId="56" priority="59" stopIfTrue="1">
      <formula>OR($F46&gt;RP-2,$F46=0)</formula>
    </cfRule>
  </conditionalFormatting>
  <conditionalFormatting sqref="K46:L48">
    <cfRule type="expression" dxfId="55" priority="58" stopIfTrue="1">
      <formula>RP&lt;1996</formula>
    </cfRule>
  </conditionalFormatting>
  <conditionalFormatting sqref="L46:L48">
    <cfRule type="expression" dxfId="54" priority="57" stopIfTrue="1">
      <formula>OR($F46&gt;RP,$F46=0)</formula>
    </cfRule>
  </conditionalFormatting>
  <conditionalFormatting sqref="K46:L48">
    <cfRule type="expression" dxfId="53" priority="56" stopIfTrue="1">
      <formula>OR($F46&gt;RP-2,$F46=0)</formula>
    </cfRule>
  </conditionalFormatting>
  <conditionalFormatting sqref="U49:U52">
    <cfRule type="expression" dxfId="52" priority="52" stopIfTrue="1">
      <formula>RP&lt;1996</formula>
    </cfRule>
  </conditionalFormatting>
  <conditionalFormatting sqref="J49:J52 F49:H52">
    <cfRule type="expression" dxfId="51" priority="54" stopIfTrue="1">
      <formula>OR($F49&gt;=RP,$F49=0)</formula>
    </cfRule>
  </conditionalFormatting>
  <conditionalFormatting sqref="V49:V52 J49:J52 M49:T52 F49:H52">
    <cfRule type="expression" dxfId="50" priority="55" stopIfTrue="1">
      <formula>RP&lt;1996</formula>
    </cfRule>
  </conditionalFormatting>
  <conditionalFormatting sqref="M49:T52 V49:V52">
    <cfRule type="expression" dxfId="49" priority="53" stopIfTrue="1">
      <formula>OR($F49&gt;RP,$F49=0)</formula>
    </cfRule>
  </conditionalFormatting>
  <conditionalFormatting sqref="U49:U52">
    <cfRule type="expression" dxfId="48" priority="51" stopIfTrue="1">
      <formula>OR($F49&gt;RP,$F49=0)</formula>
    </cfRule>
  </conditionalFormatting>
  <conditionalFormatting sqref="I49:I52">
    <cfRule type="expression" dxfId="47" priority="49" stopIfTrue="1">
      <formula>OR($F49&gt;=RP,$F49=0)</formula>
    </cfRule>
  </conditionalFormatting>
  <conditionalFormatting sqref="I49:I52">
    <cfRule type="expression" dxfId="46" priority="50" stopIfTrue="1">
      <formula>RP&lt;1996</formula>
    </cfRule>
  </conditionalFormatting>
  <conditionalFormatting sqref="L49:L52">
    <cfRule type="expression" dxfId="45" priority="48" stopIfTrue="1">
      <formula>RP&lt;1996</formula>
    </cfRule>
  </conditionalFormatting>
  <conditionalFormatting sqref="L49:L52">
    <cfRule type="expression" dxfId="44" priority="47" stopIfTrue="1">
      <formula>OR($F49&gt;RP-2,$F49=0)</formula>
    </cfRule>
  </conditionalFormatting>
  <conditionalFormatting sqref="K49:L49">
    <cfRule type="expression" dxfId="43" priority="46" stopIfTrue="1">
      <formula>RP&lt;1996</formula>
    </cfRule>
  </conditionalFormatting>
  <conditionalFormatting sqref="L49:L52">
    <cfRule type="expression" dxfId="42" priority="45" stopIfTrue="1">
      <formula>OR($F49&gt;RP,$F49=0)</formula>
    </cfRule>
  </conditionalFormatting>
  <conditionalFormatting sqref="K49:L49">
    <cfRule type="expression" dxfId="41" priority="44" stopIfTrue="1">
      <formula>OR($F49&gt;RP-2,$F49=0)</formula>
    </cfRule>
  </conditionalFormatting>
  <conditionalFormatting sqref="U49:U52">
    <cfRule type="expression" dxfId="40" priority="40" stopIfTrue="1">
      <formula>RP&lt;1996</formula>
    </cfRule>
  </conditionalFormatting>
  <conditionalFormatting sqref="J49:J52 F49:H52">
    <cfRule type="expression" dxfId="39" priority="42" stopIfTrue="1">
      <formula>OR($F49&gt;=RP,$F49=0)</formula>
    </cfRule>
  </conditionalFormatting>
  <conditionalFormatting sqref="V49:V52 J49:J52 M49:T52 F49:H52">
    <cfRule type="expression" dxfId="38" priority="43" stopIfTrue="1">
      <formula>RP&lt;1996</formula>
    </cfRule>
  </conditionalFormatting>
  <conditionalFormatting sqref="M49:T52 V49:V52">
    <cfRule type="expression" dxfId="37" priority="41" stopIfTrue="1">
      <formula>OR($F49&gt;RP,$F49=0)</formula>
    </cfRule>
  </conditionalFormatting>
  <conditionalFormatting sqref="U49:U52">
    <cfRule type="expression" dxfId="36" priority="39" stopIfTrue="1">
      <formula>OR($F49&gt;RP,$F49=0)</formula>
    </cfRule>
  </conditionalFormatting>
  <conditionalFormatting sqref="I49:I52">
    <cfRule type="expression" dxfId="35" priority="37" stopIfTrue="1">
      <formula>OR($F49&gt;=RP,$F49=0)</formula>
    </cfRule>
  </conditionalFormatting>
  <conditionalFormatting sqref="I49:I52">
    <cfRule type="expression" dxfId="34" priority="38" stopIfTrue="1">
      <formula>RP&lt;1996</formula>
    </cfRule>
  </conditionalFormatting>
  <conditionalFormatting sqref="L49:L52">
    <cfRule type="expression" dxfId="33" priority="36" stopIfTrue="1">
      <formula>RP&lt;1996</formula>
    </cfRule>
  </conditionalFormatting>
  <conditionalFormatting sqref="L49:L52">
    <cfRule type="expression" dxfId="32" priority="35" stopIfTrue="1">
      <formula>OR($F49&gt;RP-2,$F49=0)</formula>
    </cfRule>
  </conditionalFormatting>
  <conditionalFormatting sqref="K49:L49">
    <cfRule type="expression" dxfId="31" priority="34" stopIfTrue="1">
      <formula>RP&lt;1996</formula>
    </cfRule>
  </conditionalFormatting>
  <conditionalFormatting sqref="L49:L52">
    <cfRule type="expression" dxfId="30" priority="33" stopIfTrue="1">
      <formula>OR($F49&gt;RP,$F49=0)</formula>
    </cfRule>
  </conditionalFormatting>
  <conditionalFormatting sqref="K49:L49">
    <cfRule type="expression" dxfId="29" priority="32" stopIfTrue="1">
      <formula>OR($F49&gt;RP-2,$F49=0)</formula>
    </cfRule>
  </conditionalFormatting>
  <conditionalFormatting sqref="K50:L51">
    <cfRule type="expression" dxfId="28" priority="31" stopIfTrue="1">
      <formula>RP&lt;1996</formula>
    </cfRule>
  </conditionalFormatting>
  <conditionalFormatting sqref="K50:L51">
    <cfRule type="expression" dxfId="27" priority="30" stopIfTrue="1">
      <formula>OR($F50&gt;RP-2,$F50=0)</formula>
    </cfRule>
  </conditionalFormatting>
  <conditionalFormatting sqref="K50:L51">
    <cfRule type="expression" dxfId="26" priority="29" stopIfTrue="1">
      <formula>RP&lt;1996</formula>
    </cfRule>
  </conditionalFormatting>
  <conditionalFormatting sqref="K50:L51">
    <cfRule type="expression" dxfId="25" priority="28" stopIfTrue="1">
      <formula>OR($F50&gt;RP-2,$F50=0)</formula>
    </cfRule>
  </conditionalFormatting>
  <conditionalFormatting sqref="D20">
    <cfRule type="expression" dxfId="24" priority="25" stopIfTrue="1">
      <formula>RP&lt;2023</formula>
    </cfRule>
    <cfRule type="cellIs" dxfId="23" priority="26" stopIfTrue="1" operator="lessThan">
      <formula>0</formula>
    </cfRule>
  </conditionalFormatting>
  <conditionalFormatting sqref="A53">
    <cfRule type="expression" dxfId="22" priority="152" stopIfTrue="1">
      <formula>M56&gt;0</formula>
    </cfRule>
  </conditionalFormatting>
  <conditionalFormatting sqref="W44">
    <cfRule type="expression" dxfId="21" priority="24" stopIfTrue="1">
      <formula>RP&lt;1996</formula>
    </cfRule>
  </conditionalFormatting>
  <conditionalFormatting sqref="W44">
    <cfRule type="expression" dxfId="20" priority="23" stopIfTrue="1">
      <formula>OR($F44&gt;RP,$F44=0)</formula>
    </cfRule>
  </conditionalFormatting>
  <conditionalFormatting sqref="W45">
    <cfRule type="expression" dxfId="19" priority="22" stopIfTrue="1">
      <formula>RP&lt;1996</formula>
    </cfRule>
  </conditionalFormatting>
  <conditionalFormatting sqref="W45">
    <cfRule type="expression" dxfId="18" priority="21" stopIfTrue="1">
      <formula>OR($F45&gt;RP,$F45=0)</formula>
    </cfRule>
  </conditionalFormatting>
  <conditionalFormatting sqref="W46:W48">
    <cfRule type="expression" dxfId="17" priority="20" stopIfTrue="1">
      <formula>RP&lt;1996</formula>
    </cfRule>
  </conditionalFormatting>
  <conditionalFormatting sqref="W46:W48">
    <cfRule type="expression" dxfId="16" priority="19" stopIfTrue="1">
      <formula>OR($F46&gt;RP,$F46=0)</formula>
    </cfRule>
  </conditionalFormatting>
  <conditionalFormatting sqref="W47">
    <cfRule type="expression" dxfId="15" priority="18" stopIfTrue="1">
      <formula>RP&lt;1996</formula>
    </cfRule>
  </conditionalFormatting>
  <conditionalFormatting sqref="W47">
    <cfRule type="expression" dxfId="14" priority="17" stopIfTrue="1">
      <formula>OR($F47&gt;RP,$F47=0)</formula>
    </cfRule>
  </conditionalFormatting>
  <conditionalFormatting sqref="W49:W52">
    <cfRule type="expression" dxfId="13" priority="16" stopIfTrue="1">
      <formula>RP&lt;1996</formula>
    </cfRule>
  </conditionalFormatting>
  <conditionalFormatting sqref="W49:W52">
    <cfRule type="expression" dxfId="12" priority="15" stopIfTrue="1">
      <formula>OR($F49&gt;RP,$F49=0)</formula>
    </cfRule>
  </conditionalFormatting>
  <conditionalFormatting sqref="W49:W52">
    <cfRule type="expression" dxfId="11" priority="14" stopIfTrue="1">
      <formula>RP&lt;1996</formula>
    </cfRule>
  </conditionalFormatting>
  <conditionalFormatting sqref="W49:W52">
    <cfRule type="expression" dxfId="10" priority="13" stopIfTrue="1">
      <formula>OR($F49&gt;RP,$F49=0)</formula>
    </cfRule>
  </conditionalFormatting>
  <conditionalFormatting sqref="K50:L51">
    <cfRule type="expression" dxfId="9" priority="12" stopIfTrue="1">
      <formula>RP&lt;1996</formula>
    </cfRule>
  </conditionalFormatting>
  <conditionalFormatting sqref="K50:L51">
    <cfRule type="expression" dxfId="8" priority="11" stopIfTrue="1">
      <formula>OR($F50&gt;RP-2,$F50=0)</formula>
    </cfRule>
  </conditionalFormatting>
  <conditionalFormatting sqref="K50:L51">
    <cfRule type="expression" dxfId="7" priority="10" stopIfTrue="1">
      <formula>RP&lt;1996</formula>
    </cfRule>
  </conditionalFormatting>
  <conditionalFormatting sqref="K50:L51">
    <cfRule type="expression" dxfId="6" priority="9" stopIfTrue="1">
      <formula>OR($F50&gt;RP-2,$F50=0)</formula>
    </cfRule>
  </conditionalFormatting>
  <conditionalFormatting sqref="K52:L52">
    <cfRule type="expression" dxfId="5" priority="8" stopIfTrue="1">
      <formula>RP&lt;1996</formula>
    </cfRule>
  </conditionalFormatting>
  <conditionalFormatting sqref="K52:L52">
    <cfRule type="expression" dxfId="4" priority="7" stopIfTrue="1">
      <formula>OR($F52&gt;RP-2,$F52=0)</formula>
    </cfRule>
  </conditionalFormatting>
  <conditionalFormatting sqref="K52:L52">
    <cfRule type="expression" dxfId="3" priority="6" stopIfTrue="1">
      <formula>RP&lt;1996</formula>
    </cfRule>
  </conditionalFormatting>
  <conditionalFormatting sqref="K52:L52">
    <cfRule type="expression" dxfId="2" priority="5" stopIfTrue="1">
      <formula>OR($F52&gt;RP-2,$F52=0)</formula>
    </cfRule>
  </conditionalFormatting>
  <conditionalFormatting sqref="A21:D23">
    <cfRule type="expression" dxfId="1" priority="2">
      <formula>AND(RP&gt;2025,$D$20&lt;&gt;0)</formula>
    </cfRule>
  </conditionalFormatting>
  <conditionalFormatting sqref="I3">
    <cfRule type="expression" dxfId="0" priority="1">
      <formula>RP=2024</formula>
    </cfRule>
  </conditionalFormatting>
  <dataValidations count="2">
    <dataValidation type="list" allowBlank="1" showInputMessage="1" showErrorMessage="1" sqref="I3" xr:uid="{73DE1010-17E1-4E28-A227-09B7677842FA}">
      <formula1>$Y$3:$Y$14</formula1>
    </dataValidation>
    <dataValidation type="whole" allowBlank="1" showInputMessage="1" showErrorMessage="1" sqref="D3" xr:uid="{5A2ADFD9-7AF8-4929-9398-9F686E57BF82}">
      <formula1>2004</formula1>
      <formula2>max</formula2>
    </dataValidation>
  </dataValidations>
  <printOptions horizontalCentered="1"/>
  <pageMargins left="0.39370078740157483" right="0.39370078740157483" top="0.39370078740157483" bottom="0.39370078740157483" header="0" footer="0.19685039370078741"/>
  <pageSetup paperSize="9" scale="72" orientation="portrait" r:id="rId1"/>
  <headerFooter alignWithMargins="0">
    <oddFooter>&amp;L&amp;"Times New Roman CE,Obyčejné"&amp;8MPSV - 713 - pb - &amp;F - &amp;A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vyse_duchodu</vt:lpstr>
      <vt:lpstr>Krácení</vt:lpstr>
      <vt:lpstr>max</vt:lpstr>
      <vt:lpstr>maxB</vt:lpstr>
      <vt:lpstr>MP</vt:lpstr>
      <vt:lpstr>MTC</vt:lpstr>
      <vt:lpstr>odhad</vt:lpstr>
      <vt:lpstr>ovz</vt:lpstr>
      <vt:lpstr>RP</vt:lpstr>
      <vt:lpstr>US</vt:lpstr>
    </vt:vector>
  </TitlesOfParts>
  <Company>MPVS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sešitu PB</dc:title>
  <dc:creator>Böss Petr (MPSV)</dc:creator>
  <cp:lastModifiedBy>Suchomel Marek Ing. (MPSV)</cp:lastModifiedBy>
  <cp:lastPrinted>2020-09-03T20:16:42Z</cp:lastPrinted>
  <dcterms:created xsi:type="dcterms:W3CDTF">1998-09-24T06:59:17Z</dcterms:created>
  <dcterms:modified xsi:type="dcterms:W3CDTF">2024-12-18T11:36:51Z</dcterms:modified>
</cp:coreProperties>
</file>