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backupFile="1"/>
  <mc:AlternateContent xmlns:mc="http://schemas.openxmlformats.org/markup-compatibility/2006">
    <mc:Choice Requires="x15">
      <x15ac:absPath xmlns:x15ac="http://schemas.microsoft.com/office/spreadsheetml/2010/11/ac" url="O:\sd_0212\B\Valorizace\A_A26\"/>
    </mc:Choice>
  </mc:AlternateContent>
  <xr:revisionPtr revIDLastSave="0" documentId="13_ncr:1_{0E41B0D4-14D8-4787-A04E-A8FFD0A241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yse_duchodu" sheetId="1" r:id="rId1"/>
  </sheets>
  <definedNames>
    <definedName name="Krácení">vyse_duchodu!$Z$6:$AA$11</definedName>
    <definedName name="max">vyse_duchodu!$R$3</definedName>
    <definedName name="maxB">vyse_duchodu!$N$3</definedName>
    <definedName name="MP">vyse_duchodu!$I$3</definedName>
    <definedName name="MTC">vyse_duchodu!$F$8:$W$52</definedName>
    <definedName name="odhad">vyse_duchodu!$F$57:$G$64</definedName>
    <definedName name="ovz">vyse_duchodu!$C$35</definedName>
    <definedName name="RP">vyse_duchodu!$D$3</definedName>
    <definedName name="US">vyse_duchodu!$K$3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" l="1"/>
  <c r="D26" i="1"/>
  <c r="Z3" i="1"/>
  <c r="C18" i="1" s="1" a="1"/>
  <c r="C18" i="1" s="1"/>
  <c r="A19" i="1"/>
  <c r="F51" i="1"/>
  <c r="M54" i="1" l="1"/>
  <c r="A24" i="1"/>
  <c r="J50" i="1"/>
  <c r="X3" i="1" l="1"/>
  <c r="X19" i="1"/>
  <c r="T30" i="1"/>
  <c r="U30" i="1" s="1"/>
  <c r="T31" i="1" l="1"/>
  <c r="U31" i="1" l="1"/>
  <c r="T32" i="1"/>
  <c r="U32" i="1" l="1"/>
  <c r="T33" i="1"/>
  <c r="A55" i="1"/>
  <c r="A53" i="1"/>
  <c r="A43" i="1"/>
  <c r="H53" i="1"/>
  <c r="F57" i="1"/>
  <c r="M57" i="1" s="1"/>
  <c r="C39" i="1"/>
  <c r="D31" i="1"/>
  <c r="C33" i="1" s="1"/>
  <c r="A30" i="1"/>
  <c r="C28" i="1"/>
  <c r="Z11" i="1" s="1"/>
  <c r="D27" i="1"/>
  <c r="A45" i="1"/>
  <c r="C15" i="1"/>
  <c r="A15" i="1"/>
  <c r="A14" i="1"/>
  <c r="C13" i="1"/>
  <c r="A13" i="1"/>
  <c r="A12" i="1"/>
  <c r="F9" i="1"/>
  <c r="K3" i="1"/>
  <c r="Z9" i="1" l="1"/>
  <c r="D28" i="1" s="1" a="1"/>
  <c r="D28" i="1" s="1"/>
  <c r="D29" i="1" s="1"/>
  <c r="Z10" i="1"/>
  <c r="Z8" i="1"/>
  <c r="Z7" i="1"/>
  <c r="Z6" i="1"/>
  <c r="T34" i="1"/>
  <c r="U33" i="1"/>
  <c r="M33" i="1"/>
  <c r="R33" i="1"/>
  <c r="N33" i="1"/>
  <c r="O33" i="1"/>
  <c r="P33" i="1"/>
  <c r="Q33" i="1"/>
  <c r="F10" i="1"/>
  <c r="F58" i="1"/>
  <c r="M58" i="1" s="1"/>
  <c r="D35" i="1"/>
  <c r="C34" i="1" s="1"/>
  <c r="T35" i="1" l="1"/>
  <c r="S34" i="1"/>
  <c r="U34" i="1"/>
  <c r="F11" i="1"/>
  <c r="F59" i="1"/>
  <c r="M59" i="1" s="1"/>
  <c r="S35" i="1" l="1"/>
  <c r="O35" i="1"/>
  <c r="N35" i="1"/>
  <c r="M35" i="1"/>
  <c r="T36" i="1"/>
  <c r="U35" i="1"/>
  <c r="F12" i="1"/>
  <c r="F60" i="1"/>
  <c r="U36" i="1" l="1"/>
  <c r="M36" i="1"/>
  <c r="N36" i="1"/>
  <c r="T37" i="1"/>
  <c r="O36" i="1"/>
  <c r="S36" i="1"/>
  <c r="F61" i="1"/>
  <c r="M61" i="1" s="1"/>
  <c r="M60" i="1"/>
  <c r="F13" i="1"/>
  <c r="M37" i="1" l="1"/>
  <c r="T38" i="1"/>
  <c r="U37" i="1"/>
  <c r="N37" i="1"/>
  <c r="S37" i="1"/>
  <c r="F62" i="1"/>
  <c r="F14" i="1"/>
  <c r="M62" i="1" l="1"/>
  <c r="S38" i="1"/>
  <c r="U38" i="1"/>
  <c r="N38" i="1"/>
  <c r="M38" i="1"/>
  <c r="T39" i="1"/>
  <c r="F63" i="1"/>
  <c r="M63" i="1" s="1"/>
  <c r="F15" i="1"/>
  <c r="N59" i="1" l="1"/>
  <c r="O59" i="1" s="1"/>
  <c r="N57" i="1"/>
  <c r="O57" i="1" s="1"/>
  <c r="N60" i="1"/>
  <c r="O60" i="1" s="1"/>
  <c r="N62" i="1"/>
  <c r="O62" i="1" s="1"/>
  <c r="N58" i="1"/>
  <c r="O58" i="1" s="1"/>
  <c r="U39" i="1"/>
  <c r="N39" i="1"/>
  <c r="T40" i="1"/>
  <c r="S39" i="1"/>
  <c r="M39" i="1"/>
  <c r="N61" i="1"/>
  <c r="O61" i="1" s="1"/>
  <c r="N63" i="1"/>
  <c r="O63" i="1" s="1"/>
  <c r="M56" i="1"/>
  <c r="A50" i="1" s="1"/>
  <c r="F16" i="1"/>
  <c r="N56" i="1" l="1"/>
  <c r="M40" i="1"/>
  <c r="N40" i="1"/>
  <c r="T41" i="1"/>
  <c r="S40" i="1"/>
  <c r="U40" i="1"/>
  <c r="M55" i="1"/>
  <c r="F17" i="1"/>
  <c r="N41" i="1" l="1"/>
  <c r="T42" i="1"/>
  <c r="M41" i="1"/>
  <c r="S41" i="1"/>
  <c r="U41" i="1"/>
  <c r="F18" i="1"/>
  <c r="N42" i="1" l="1"/>
  <c r="S42" i="1"/>
  <c r="U42" i="1"/>
  <c r="M42" i="1"/>
  <c r="F19" i="1"/>
  <c r="F20" i="1" l="1"/>
  <c r="F21" i="1" l="1"/>
  <c r="F22" i="1" l="1"/>
  <c r="F23" i="1" l="1"/>
  <c r="F24" i="1" l="1"/>
  <c r="F25" i="1" l="1"/>
  <c r="F26" i="1" l="1"/>
  <c r="F27" i="1" l="1"/>
  <c r="F28" i="1" l="1"/>
  <c r="F29" i="1" l="1"/>
  <c r="F30" i="1" l="1"/>
  <c r="F31" i="1" l="1"/>
  <c r="F32" i="1" l="1"/>
  <c r="F33" i="1" l="1"/>
  <c r="F34" i="1" l="1"/>
  <c r="F35" i="1" l="1"/>
  <c r="F36" i="1" l="1"/>
  <c r="F37" i="1" l="1"/>
  <c r="F38" i="1" l="1"/>
  <c r="F39" i="1" l="1"/>
  <c r="F40" i="1" l="1"/>
  <c r="F41" i="1" l="1"/>
  <c r="F42" i="1" l="1"/>
  <c r="T43" i="1"/>
  <c r="M43" i="1" l="1"/>
  <c r="N43" i="1"/>
  <c r="S43" i="1"/>
  <c r="U43" i="1"/>
  <c r="T44" i="1"/>
  <c r="F43" i="1"/>
  <c r="M44" i="1" l="1"/>
  <c r="N44" i="1"/>
  <c r="S44" i="1"/>
  <c r="U44" i="1"/>
  <c r="F44" i="1"/>
  <c r="T45" i="1" l="1"/>
  <c r="S45" i="1" s="1"/>
  <c r="F45" i="1"/>
  <c r="T46" i="1" l="1"/>
  <c r="U46" i="1" s="1"/>
  <c r="N45" i="1"/>
  <c r="M45" i="1"/>
  <c r="U45" i="1"/>
  <c r="F46" i="1"/>
  <c r="T47" i="1" l="1"/>
  <c r="N47" i="1" s="1"/>
  <c r="N46" i="1"/>
  <c r="S46" i="1"/>
  <c r="M46" i="1"/>
  <c r="F47" i="1"/>
  <c r="M47" i="1" l="1"/>
  <c r="S47" i="1"/>
  <c r="U47" i="1"/>
  <c r="F48" i="1"/>
  <c r="L47" i="1"/>
  <c r="T48" i="1"/>
  <c r="S48" i="1" s="1"/>
  <c r="K47" i="1"/>
  <c r="T49" i="1" l="1"/>
  <c r="M49" i="1" s="1"/>
  <c r="L48" i="1"/>
  <c r="F49" i="1"/>
  <c r="K48" i="1"/>
  <c r="N48" i="1"/>
  <c r="M48" i="1"/>
  <c r="U48" i="1"/>
  <c r="U49" i="1" l="1"/>
  <c r="S49" i="1"/>
  <c r="N49" i="1"/>
  <c r="F50" i="1"/>
  <c r="T50" i="1"/>
  <c r="L49" i="1"/>
  <c r="Q52" i="1"/>
  <c r="K49" i="1"/>
  <c r="K50" i="1" s="1"/>
  <c r="L7" i="1"/>
  <c r="L50" i="1" l="1"/>
  <c r="P52" i="1"/>
  <c r="O52" i="1"/>
  <c r="R52" i="1"/>
  <c r="I50" i="1"/>
  <c r="U50" i="1"/>
  <c r="N50" i="1"/>
  <c r="N52" i="1" s="1"/>
  <c r="M50" i="1"/>
  <c r="M52" i="1" s="1"/>
  <c r="S50" i="1"/>
  <c r="D40" i="1" s="1"/>
  <c r="D4" i="1"/>
  <c r="B1" i="1"/>
  <c r="I49" i="1"/>
  <c r="J49" i="1" s="1"/>
  <c r="I47" i="1"/>
  <c r="J47" i="1" s="1"/>
  <c r="I21" i="1"/>
  <c r="J21" i="1" s="1"/>
  <c r="I45" i="1"/>
  <c r="J45" i="1" s="1"/>
  <c r="I18" i="1"/>
  <c r="J18" i="1" s="1"/>
  <c r="I24" i="1"/>
  <c r="J24" i="1" s="1"/>
  <c r="I44" i="1"/>
  <c r="J44" i="1" s="1"/>
  <c r="I36" i="1"/>
  <c r="J36" i="1" s="1"/>
  <c r="I35" i="1"/>
  <c r="J35" i="1" s="1"/>
  <c r="I15" i="1"/>
  <c r="J15" i="1" s="1"/>
  <c r="I28" i="1"/>
  <c r="J28" i="1" s="1"/>
  <c r="I17" i="1"/>
  <c r="J17" i="1" s="1"/>
  <c r="I14" i="1"/>
  <c r="J14" i="1" s="1"/>
  <c r="I48" i="1"/>
  <c r="J48" i="1" s="1"/>
  <c r="I27" i="1"/>
  <c r="J27" i="1" s="1"/>
  <c r="I8" i="1"/>
  <c r="J8" i="1" s="1"/>
  <c r="I42" i="1"/>
  <c r="J42" i="1" s="1"/>
  <c r="I32" i="1"/>
  <c r="J32" i="1" s="1"/>
  <c r="I20" i="1"/>
  <c r="J20" i="1" s="1"/>
  <c r="I40" i="1"/>
  <c r="J40" i="1" s="1"/>
  <c r="I22" i="1"/>
  <c r="J22" i="1" s="1"/>
  <c r="I39" i="1"/>
  <c r="J39" i="1" s="1"/>
  <c r="I33" i="1"/>
  <c r="J33" i="1" s="1"/>
  <c r="I25" i="1"/>
  <c r="J25" i="1" s="1"/>
  <c r="I29" i="1"/>
  <c r="J29" i="1" s="1"/>
  <c r="I9" i="1"/>
  <c r="J9" i="1" s="1"/>
  <c r="I31" i="1"/>
  <c r="J31" i="1" s="1"/>
  <c r="I10" i="1"/>
  <c r="J10" i="1" s="1"/>
  <c r="I13" i="1"/>
  <c r="J13" i="1" s="1"/>
  <c r="I46" i="1"/>
  <c r="J46" i="1" s="1"/>
  <c r="I26" i="1"/>
  <c r="J26" i="1" s="1"/>
  <c r="I11" i="1"/>
  <c r="J11" i="1" s="1"/>
  <c r="I23" i="1"/>
  <c r="J23" i="1" s="1"/>
  <c r="I16" i="1"/>
  <c r="J16" i="1" s="1"/>
  <c r="I34" i="1"/>
  <c r="J34" i="1" s="1"/>
  <c r="I38" i="1"/>
  <c r="J38" i="1" s="1"/>
  <c r="I30" i="1"/>
  <c r="J30" i="1" s="1"/>
  <c r="I41" i="1"/>
  <c r="J41" i="1" s="1"/>
  <c r="I43" i="1"/>
  <c r="J43" i="1" s="1"/>
  <c r="I12" i="1"/>
  <c r="J12" i="1" s="1"/>
  <c r="I37" i="1"/>
  <c r="J37" i="1" s="1"/>
  <c r="I19" i="1"/>
  <c r="J19" i="1" s="1"/>
  <c r="C37" i="1" l="1"/>
  <c r="C36" i="1"/>
  <c r="D32" i="1"/>
  <c r="C35" i="1" s="1"/>
  <c r="S52" i="1" s="1"/>
  <c r="T52" i="1" l="1"/>
  <c r="C38" i="1" s="1"/>
  <c r="D41" i="1" s="1"/>
  <c r="D4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<sst xmlns="http://schemas.openxmlformats.org/spreadsheetml/2006/main" count="131" uniqueCount="103">
  <si>
    <t>SKRÝT</t>
  </si>
  <si>
    <t>Vyplňte prosím do zelených buněk rok přiznání důchodu, výše vyměřovacích základů, vyloučených dob a dobu pojištění</t>
  </si>
  <si>
    <t>indikace chyby</t>
  </si>
  <si>
    <t>rok přiznání důchodu</t>
  </si>
  <si>
    <t>ne</t>
  </si>
  <si>
    <r>
      <t xml:space="preserve"> </t>
    </r>
    <r>
      <rPr>
        <b/>
        <u/>
        <sz val="11"/>
        <rFont val="Times New Roman CE"/>
        <charset val="238"/>
      </rPr>
      <t>Doba pojištění</t>
    </r>
  </si>
  <si>
    <t>V</t>
  </si>
  <si>
    <t xml:space="preserve">Vyměřovací </t>
  </si>
  <si>
    <t>Vyloučené</t>
  </si>
  <si>
    <t>Koeficient</t>
  </si>
  <si>
    <t>Roční</t>
  </si>
  <si>
    <t>Všeobecný</t>
  </si>
  <si>
    <t>Přepočítací</t>
  </si>
  <si>
    <t xml:space="preserve">Redukční </t>
  </si>
  <si>
    <t>Redukce na</t>
  </si>
  <si>
    <t>Základní</t>
  </si>
  <si>
    <t>Průměrná</t>
  </si>
  <si>
    <t>Maximální</t>
  </si>
  <si>
    <t>náso bek</t>
  </si>
  <si>
    <t>POZOR ! Není vyplněna doba pojištění ke dni vzniku nároku na důchod!</t>
  </si>
  <si>
    <t xml:space="preserve"> Počet let pojištění ke dni vzniku nároku na důchod</t>
  </si>
  <si>
    <t>roce</t>
  </si>
  <si>
    <t>základ</t>
  </si>
  <si>
    <t>doby</t>
  </si>
  <si>
    <t>nárůstu</t>
  </si>
  <si>
    <t>vyměřovací</t>
  </si>
  <si>
    <t>koeficient</t>
  </si>
  <si>
    <t>hranice</t>
  </si>
  <si>
    <t>v pásmu</t>
  </si>
  <si>
    <t>výměra</t>
  </si>
  <si>
    <t>mzda</t>
  </si>
  <si>
    <t>POZOR ! Je vyplněna doba za přesluhování a současně doba za předčasný odchod do důchodu, což není možné !</t>
  </si>
  <si>
    <t>(Kč)</t>
  </si>
  <si>
    <t>(dny)</t>
  </si>
  <si>
    <t>VVZ</t>
  </si>
  <si>
    <t>I.</t>
  </si>
  <si>
    <t>II.</t>
  </si>
  <si>
    <t>III.</t>
  </si>
  <si>
    <t>I. - II.</t>
  </si>
  <si>
    <t>II. - III.</t>
  </si>
  <si>
    <t>nad III.</t>
  </si>
  <si>
    <t>max.</t>
  </si>
  <si>
    <t>POZOR ! Je vyplněna doba pro trvale krácený i dočasně krácený předčasný starobní důchod, což není možné !</t>
  </si>
  <si>
    <r>
      <t xml:space="preserve"> </t>
    </r>
    <r>
      <rPr>
        <u/>
        <sz val="11"/>
        <rFont val="Times New Roman CE"/>
        <charset val="238"/>
      </rPr>
      <t>Při přesluhování</t>
    </r>
    <r>
      <rPr>
        <sz val="11"/>
        <rFont val="Times New Roman CE"/>
        <family val="1"/>
        <charset val="238"/>
      </rPr>
      <t xml:space="preserve"> - </t>
    </r>
    <r>
      <rPr>
        <sz val="9"/>
        <rFont val="Times New Roman CE"/>
        <family val="1"/>
        <charset val="238"/>
      </rPr>
      <t>výdělečná činnost po dosažení důchodového věku</t>
    </r>
  </si>
  <si>
    <t xml:space="preserve"> bez pobírání důchodu - počet čtvrtletí (ukončených 90 dnů)  </t>
  </si>
  <si>
    <t>30.9..1996 se základní výměra zvýšila na 1 060 Kč a procentní výměra o dalších 6%.</t>
  </si>
  <si>
    <t xml:space="preserve">    před 1.7.2001 </t>
  </si>
  <si>
    <t>zvýšení sazby o 1,0%</t>
  </si>
  <si>
    <t>31.3.1996 se základní výměra zvýšila na 920 Kč a procentní výměra o 8%</t>
  </si>
  <si>
    <t xml:space="preserve">    po 30.6.2001</t>
  </si>
  <si>
    <t>zvýšení sazby o 1,5%</t>
  </si>
  <si>
    <t>31.7.1997 se základní výměra zvýšila na 1 260 Kč a procentní výměra o 8%.</t>
  </si>
  <si>
    <t>30.6.1998 se základní výměra zvýšila na 1 310 Kč a procentní výměra o 5%.</t>
  </si>
  <si>
    <t>31.7.1999 se procentní výměra zvýšila o 5%.</t>
  </si>
  <si>
    <t>30.11.2000 se procentní výměra zvýšila o 5%.</t>
  </si>
  <si>
    <t>30.11.2001 se procentní výměra zvýšila o 8%.</t>
  </si>
  <si>
    <r>
      <t xml:space="preserve"> </t>
    </r>
    <r>
      <rPr>
        <u/>
        <sz val="11"/>
        <rFont val="Times New Roman CE"/>
        <charset val="238"/>
      </rPr>
      <t>Při předčasném odchodu</t>
    </r>
    <r>
      <rPr>
        <sz val="11"/>
        <rFont val="Times New Roman CE"/>
        <family val="1"/>
        <charset val="238"/>
      </rPr>
      <t xml:space="preserve"> - počet čtvrtletí (každých i započatých </t>
    </r>
  </si>
  <si>
    <t xml:space="preserve"> 90 dnů chybějících do dosažení důchodového věku)</t>
  </si>
  <si>
    <t>trvale krácené (§31)</t>
  </si>
  <si>
    <t xml:space="preserve"> Procentní sazby pro stanovení procentní výměry důchodu</t>
  </si>
  <si>
    <t xml:space="preserve">   za dobu pojištění do vzniku nároku na důchod</t>
  </si>
  <si>
    <t xml:space="preserve">   za přesluhování</t>
  </si>
  <si>
    <t xml:space="preserve">   za předčasný odchod do důchodu</t>
  </si>
  <si>
    <t>celkem</t>
  </si>
  <si>
    <t xml:space="preserve"> Rozhodné období tvoří roky</t>
  </si>
  <si>
    <t>1986  -</t>
  </si>
  <si>
    <t xml:space="preserve"> Úhrn ročních vyměřovacích základů</t>
  </si>
  <si>
    <t xml:space="preserve"> Počet dnů</t>
  </si>
  <si>
    <t>v rozhodném období</t>
  </si>
  <si>
    <t>vyloučených</t>
  </si>
  <si>
    <t xml:space="preserve"> Osobní vyměřovací základ</t>
  </si>
  <si>
    <t xml:space="preserve"> Redukční hranice</t>
  </si>
  <si>
    <t>započte se</t>
  </si>
  <si>
    <t>Výpočtový základ :</t>
  </si>
  <si>
    <r>
      <t xml:space="preserve">   </t>
    </r>
    <r>
      <rPr>
        <b/>
        <u/>
        <sz val="11"/>
        <rFont val="Times New Roman CE"/>
        <family val="1"/>
        <charset val="238"/>
      </rPr>
      <t>Vypočtená výše důchodu</t>
    </r>
  </si>
  <si>
    <t>základní výměra důchodu</t>
  </si>
  <si>
    <t>procentní výměra důchodu</t>
  </si>
  <si>
    <t>úhrnná výše důchodu</t>
  </si>
  <si>
    <t>Odhadovaný růst</t>
  </si>
  <si>
    <t>rok</t>
  </si>
  <si>
    <t>odhad</t>
  </si>
  <si>
    <t>průměrné mzdy
v %</t>
  </si>
  <si>
    <t>Uvedena výše důchodu při jeho přiznání na počátku roku.  Při přiznání po:</t>
  </si>
  <si>
    <t>30.6.2008 se základní výměra zvýšila z 1 700 na 2 170 Kč</t>
  </si>
  <si>
    <t>Kvůli zveřejnění na www. MPSV hlásí nemožnost výpočtu pro přiznání</t>
  </si>
  <si>
    <t>dávat pozor na upřesňující poznámky pod tabulkou.</t>
  </si>
  <si>
    <t xml:space="preserve">před rokem 2004, ale výpočet je přesto proveden správně, jen je třeba </t>
  </si>
  <si>
    <t>pak podle odhadu růstu mezd do roku</t>
  </si>
  <si>
    <t>do roku</t>
  </si>
  <si>
    <t>zpochybnit</t>
  </si>
  <si>
    <t>růst menší</t>
  </si>
  <si>
    <t>růst větší</t>
  </si>
  <si>
    <t>x-x-x</t>
  </si>
  <si>
    <t>Výchovné</t>
  </si>
  <si>
    <t>měsíc přiznání důchodu</t>
  </si>
  <si>
    <t>snížení sazby o 0,6%</t>
  </si>
  <si>
    <t>snížení sazby o 0,9%</t>
  </si>
  <si>
    <t>snížení o 1,5%</t>
  </si>
  <si>
    <t>snížení o 0,9%; 1,2%; 1,5%</t>
  </si>
  <si>
    <t>snížení o 0,75%</t>
  </si>
  <si>
    <t>Ano</t>
  </si>
  <si>
    <t>Ne</t>
  </si>
  <si>
    <t xml:space="preserve">Získal(a) jste alespoň 45 let doby pojištění pouze výdělečnou činností, činností pěstouna, péčí o děti do 4 let věku, péčí o závislou osobu a vojenskou službou?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</si>
</sst>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;;;"/>
    <numFmt numFmtId="165" formatCode="#,##0_K"/>
    <numFmt numFmtId="166" formatCode="#,##0.0000_K"/>
    <numFmt numFmtId="167" formatCode="#,##0_K_K"/>
    <numFmt numFmtId="168" formatCode="#,##0.0_k%_K"/>
    <numFmt numFmtId="169" formatCode="#,##0\ &quot;Kč&quot;_K"/>
    <numFmt numFmtId="170" formatCode="#,##0.0_K"/>
    <numFmt numFmtId="171" formatCode="#,##0.000_K"/>
  </numFmts>
  <fonts count="21" x14ac:knownFonts="1">
    <font>
      <sz val="10"/>
      <name val="Arial CE"/>
      <family val="2"/>
      <charset val="238"/>
    </font>
    <font>
      <sz val="10"/>
      <name val="Times New Roman CE"/>
      <family val="1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color indexed="13"/>
      <name val="Times New Roman CE"/>
      <family val="1"/>
      <charset val="238"/>
    </font>
    <font>
      <b/>
      <i/>
      <sz val="11"/>
      <color indexed="10"/>
      <name val="Times New Roman CE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i/>
      <sz val="11"/>
      <name val="Times New Roman CE"/>
      <family val="1"/>
      <charset val="238"/>
    </font>
    <font>
      <b/>
      <u/>
      <sz val="11"/>
      <name val="Times New Roman CE"/>
      <charset val="238"/>
    </font>
    <font>
      <sz val="11"/>
      <name val="Times New Roman CE"/>
      <charset val="238"/>
    </font>
    <font>
      <u/>
      <sz val="11"/>
      <name val="Times New Roman CE"/>
      <charset val="238"/>
    </font>
    <font>
      <sz val="9"/>
      <name val="Times New Roman CE"/>
      <family val="1"/>
      <charset val="238"/>
    </font>
    <font>
      <b/>
      <u/>
      <sz val="11"/>
      <name val="Times New Roman CE"/>
      <family val="1"/>
      <charset val="238"/>
    </font>
    <font>
      <b/>
      <sz val="11"/>
      <color indexed="8"/>
      <name val="Times New Roman CE"/>
      <charset val="238"/>
    </font>
    <font>
      <sz val="11"/>
      <color indexed="8"/>
      <name val="Times New Roman CE"/>
      <charset val="238"/>
    </font>
    <font>
      <b/>
      <sz val="10"/>
      <name val="Times New Roman CE"/>
      <charset val="238"/>
    </font>
    <font>
      <sz val="12"/>
      <name val="Times New Roman CE"/>
      <family val="1"/>
      <charset val="238"/>
    </font>
    <font>
      <sz val="11"/>
      <name val="Arial CE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5" fontId="1" fillId="0" borderId="0"/>
    <xf numFmtId="9" fontId="2" fillId="0" borderId="0" applyFont="0" applyFill="0" applyBorder="0" applyAlignment="0" applyProtection="0"/>
  </cellStyleXfs>
  <cellXfs count="204">
    <xf numFmtId="0" fontId="0" fillId="0" borderId="0" xfId="0"/>
    <xf numFmtId="165" fontId="4" fillId="0" borderId="0" xfId="1" applyFont="1" applyFill="1" applyProtection="1">
      <protection locked="0" hidden="1"/>
    </xf>
    <xf numFmtId="165" fontId="4" fillId="0" borderId="0" xfId="1" applyNumberFormat="1" applyFont="1" applyProtection="1">
      <protection hidden="1"/>
    </xf>
    <xf numFmtId="165" fontId="6" fillId="2" borderId="0" xfId="1" applyFont="1" applyFill="1" applyAlignment="1" applyProtection="1">
      <alignment horizontal="center"/>
      <protection hidden="1"/>
    </xf>
    <xf numFmtId="165" fontId="1" fillId="0" borderId="0" xfId="1" applyProtection="1">
      <protection hidden="1"/>
    </xf>
    <xf numFmtId="165" fontId="4" fillId="0" borderId="0" xfId="1" applyFont="1" applyProtection="1">
      <protection hidden="1"/>
    </xf>
    <xf numFmtId="165" fontId="8" fillId="0" borderId="0" xfId="1" applyFont="1" applyFill="1" applyAlignment="1" applyProtection="1">
      <alignment horizontal="center"/>
      <protection hidden="1"/>
    </xf>
    <xf numFmtId="165" fontId="8" fillId="0" borderId="0" xfId="1" applyFont="1" applyFill="1" applyAlignment="1" applyProtection="1">
      <alignment horizontal="right"/>
      <protection hidden="1"/>
    </xf>
    <xf numFmtId="165" fontId="9" fillId="0" borderId="0" xfId="1" applyFont="1" applyProtection="1">
      <protection hidden="1"/>
    </xf>
    <xf numFmtId="165" fontId="9" fillId="0" borderId="0" xfId="1" applyFont="1" applyAlignment="1" applyProtection="1">
      <alignment horizontal="center"/>
      <protection locked="0" hidden="1"/>
    </xf>
    <xf numFmtId="164" fontId="4" fillId="0" borderId="0" xfId="1" applyNumberFormat="1" applyFont="1" applyProtection="1">
      <protection hidden="1"/>
    </xf>
    <xf numFmtId="1" fontId="4" fillId="0" borderId="0" xfId="1" applyNumberFormat="1" applyFont="1" applyAlignment="1" applyProtection="1">
      <alignment horizontal="center"/>
      <protection hidden="1"/>
    </xf>
    <xf numFmtId="1" fontId="4" fillId="8" borderId="0" xfId="1" applyNumberFormat="1" applyFont="1" applyFill="1" applyAlignment="1" applyProtection="1">
      <alignment horizontal="center"/>
      <protection hidden="1"/>
    </xf>
    <xf numFmtId="1" fontId="8" fillId="4" borderId="0" xfId="1" applyNumberFormat="1" applyFont="1" applyFill="1" applyAlignment="1" applyProtection="1">
      <alignment horizontal="center"/>
      <protection hidden="1"/>
    </xf>
    <xf numFmtId="165" fontId="10" fillId="0" borderId="0" xfId="1" applyFont="1" applyFill="1" applyAlignment="1" applyProtection="1">
      <alignment horizontal="center"/>
      <protection hidden="1"/>
    </xf>
    <xf numFmtId="165" fontId="10" fillId="0" borderId="0" xfId="1" applyNumberFormat="1" applyFont="1" applyFill="1" applyAlignment="1" applyProtection="1">
      <alignment horizontal="center"/>
      <protection hidden="1"/>
    </xf>
    <xf numFmtId="165" fontId="8" fillId="0" borderId="1" xfId="1" applyFont="1" applyFill="1" applyBorder="1" applyProtection="1">
      <protection hidden="1"/>
    </xf>
    <xf numFmtId="165" fontId="4" fillId="0" borderId="2" xfId="1" applyFont="1" applyFill="1" applyBorder="1" applyProtection="1">
      <protection hidden="1"/>
    </xf>
    <xf numFmtId="165" fontId="4" fillId="0" borderId="3" xfId="1" applyFont="1" applyFill="1" applyBorder="1" applyProtection="1">
      <protection hidden="1"/>
    </xf>
    <xf numFmtId="165" fontId="4" fillId="0" borderId="0" xfId="1" applyFont="1" applyFill="1" applyProtection="1">
      <protection hidden="1"/>
    </xf>
    <xf numFmtId="165" fontId="8" fillId="5" borderId="4" xfId="1" applyFont="1" applyFill="1" applyBorder="1" applyAlignment="1" applyProtection="1">
      <alignment horizontal="center"/>
      <protection hidden="1"/>
    </xf>
    <xf numFmtId="165" fontId="8" fillId="5" borderId="5" xfId="1" applyFont="1" applyFill="1" applyBorder="1" applyAlignment="1" applyProtection="1">
      <alignment horizontal="center"/>
      <protection hidden="1"/>
    </xf>
    <xf numFmtId="165" fontId="8" fillId="5" borderId="3" xfId="1" applyFont="1" applyFill="1" applyBorder="1" applyAlignment="1" applyProtection="1">
      <alignment horizontal="center"/>
      <protection hidden="1"/>
    </xf>
    <xf numFmtId="166" fontId="4" fillId="0" borderId="5" xfId="1" applyNumberFormat="1" applyFont="1" applyBorder="1" applyAlignment="1" applyProtection="1">
      <alignment horizontal="center"/>
      <protection hidden="1"/>
    </xf>
    <xf numFmtId="165" fontId="4" fillId="0" borderId="3" xfId="1" applyNumberFormat="1" applyFont="1" applyBorder="1" applyAlignment="1" applyProtection="1">
      <alignment horizontal="center"/>
      <protection hidden="1"/>
    </xf>
    <xf numFmtId="165" fontId="4" fillId="0" borderId="5" xfId="1" applyNumberFormat="1" applyFont="1" applyBorder="1" applyAlignment="1" applyProtection="1">
      <alignment horizontal="center"/>
      <protection hidden="1"/>
    </xf>
    <xf numFmtId="165" fontId="4" fillId="0" borderId="4" xfId="1" applyNumberFormat="1" applyFont="1" applyBorder="1" applyAlignment="1" applyProtection="1">
      <alignment horizontal="center"/>
      <protection hidden="1"/>
    </xf>
    <xf numFmtId="165" fontId="4" fillId="0" borderId="6" xfId="1" applyNumberFormat="1" applyFont="1" applyBorder="1" applyAlignment="1" applyProtection="1">
      <alignment horizontal="center"/>
      <protection hidden="1"/>
    </xf>
    <xf numFmtId="165" fontId="4" fillId="0" borderId="1" xfId="1" applyNumberFormat="1" applyFont="1" applyBorder="1" applyAlignment="1" applyProtection="1">
      <alignment horizontal="center"/>
      <protection hidden="1"/>
    </xf>
    <xf numFmtId="165" fontId="4" fillId="0" borderId="4" xfId="1" applyFont="1" applyBorder="1" applyAlignment="1" applyProtection="1">
      <alignment horizontal="center"/>
      <protection hidden="1"/>
    </xf>
    <xf numFmtId="165" fontId="4" fillId="0" borderId="0" xfId="1" applyNumberFormat="1" applyFont="1" applyFill="1" applyProtection="1">
      <protection hidden="1"/>
    </xf>
    <xf numFmtId="0" fontId="4" fillId="0" borderId="7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165" fontId="4" fillId="0" borderId="8" xfId="1" applyFont="1" applyFill="1" applyBorder="1" applyProtection="1">
      <protection hidden="1"/>
    </xf>
    <xf numFmtId="165" fontId="8" fillId="5" borderId="9" xfId="1" applyFont="1" applyFill="1" applyBorder="1" applyAlignment="1" applyProtection="1">
      <alignment horizontal="center"/>
      <protection hidden="1"/>
    </xf>
    <xf numFmtId="165" fontId="8" fillId="5" borderId="10" xfId="1" applyFont="1" applyFill="1" applyBorder="1" applyAlignment="1" applyProtection="1">
      <alignment horizontal="center"/>
      <protection hidden="1"/>
    </xf>
    <xf numFmtId="165" fontId="8" fillId="5" borderId="8" xfId="1" applyFont="1" applyFill="1" applyBorder="1" applyAlignment="1" applyProtection="1">
      <alignment horizontal="center"/>
      <protection hidden="1"/>
    </xf>
    <xf numFmtId="166" fontId="4" fillId="0" borderId="10" xfId="1" applyNumberFormat="1" applyFont="1" applyBorder="1" applyAlignment="1" applyProtection="1">
      <alignment horizontal="center"/>
      <protection hidden="1"/>
    </xf>
    <xf numFmtId="165" fontId="4" fillId="0" borderId="8" xfId="1" applyNumberFormat="1" applyFont="1" applyBorder="1" applyAlignment="1" applyProtection="1">
      <alignment horizontal="center"/>
      <protection hidden="1"/>
    </xf>
    <xf numFmtId="165" fontId="4" fillId="0" borderId="10" xfId="1" applyNumberFormat="1" applyFont="1" applyBorder="1" applyAlignment="1" applyProtection="1">
      <alignment horizontal="center"/>
      <protection hidden="1"/>
    </xf>
    <xf numFmtId="165" fontId="4" fillId="0" borderId="9" xfId="1" applyNumberFormat="1" applyFont="1" applyBorder="1" applyAlignment="1" applyProtection="1">
      <alignment horizontal="center"/>
      <protection hidden="1"/>
    </xf>
    <xf numFmtId="165" fontId="4" fillId="0" borderId="11" xfId="1" applyNumberFormat="1" applyFont="1" applyBorder="1" applyAlignment="1" applyProtection="1">
      <alignment horizontal="center"/>
      <protection hidden="1"/>
    </xf>
    <xf numFmtId="165" fontId="4" fillId="0" borderId="7" xfId="1" applyNumberFormat="1" applyFont="1" applyBorder="1" applyAlignment="1" applyProtection="1">
      <alignment horizontal="center"/>
      <protection hidden="1"/>
    </xf>
    <xf numFmtId="165" fontId="4" fillId="0" borderId="9" xfId="1" applyFont="1" applyBorder="1" applyAlignment="1" applyProtection="1">
      <alignment horizontal="center"/>
      <protection hidden="1"/>
    </xf>
    <xf numFmtId="165" fontId="4" fillId="0" borderId="7" xfId="1" applyFont="1" applyFill="1" applyBorder="1" applyProtection="1">
      <protection hidden="1"/>
    </xf>
    <xf numFmtId="165" fontId="4" fillId="0" borderId="0" xfId="1" applyFont="1" applyFill="1" applyBorder="1" applyProtection="1">
      <protection hidden="1"/>
    </xf>
    <xf numFmtId="165" fontId="4" fillId="0" borderId="0" xfId="1" applyFont="1" applyFill="1" applyBorder="1" applyAlignment="1" applyProtection="1">
      <alignment horizontal="right"/>
      <protection hidden="1"/>
    </xf>
    <xf numFmtId="165" fontId="8" fillId="5" borderId="12" xfId="1" applyFont="1" applyFill="1" applyBorder="1" applyAlignment="1" applyProtection="1">
      <alignment horizontal="center"/>
      <protection hidden="1"/>
    </xf>
    <xf numFmtId="165" fontId="12" fillId="5" borderId="13" xfId="1" applyFont="1" applyFill="1" applyBorder="1" applyAlignment="1" applyProtection="1">
      <alignment horizontal="center"/>
      <protection hidden="1"/>
    </xf>
    <xf numFmtId="165" fontId="12" fillId="5" borderId="14" xfId="1" applyFont="1" applyFill="1" applyBorder="1" applyAlignment="1" applyProtection="1">
      <alignment horizontal="center"/>
      <protection hidden="1"/>
    </xf>
    <xf numFmtId="166" fontId="4" fillId="0" borderId="13" xfId="1" applyNumberFormat="1" applyFont="1" applyBorder="1" applyAlignment="1" applyProtection="1">
      <alignment horizontal="center"/>
      <protection hidden="1"/>
    </xf>
    <xf numFmtId="165" fontId="4" fillId="0" borderId="14" xfId="1" applyNumberFormat="1" applyFont="1" applyBorder="1" applyAlignment="1" applyProtection="1">
      <alignment horizontal="center"/>
      <protection hidden="1"/>
    </xf>
    <xf numFmtId="165" fontId="4" fillId="0" borderId="13" xfId="1" applyNumberFormat="1" applyFont="1" applyBorder="1" applyAlignment="1" applyProtection="1">
      <alignment horizontal="center"/>
      <protection hidden="1"/>
    </xf>
    <xf numFmtId="164" fontId="4" fillId="0" borderId="12" xfId="1" applyNumberFormat="1" applyFont="1" applyBorder="1" applyAlignment="1" applyProtection="1">
      <alignment horizontal="center"/>
      <protection hidden="1"/>
    </xf>
    <xf numFmtId="165" fontId="4" fillId="0" borderId="15" xfId="1" applyNumberFormat="1" applyFont="1" applyBorder="1" applyAlignment="1" applyProtection="1">
      <alignment horizontal="center"/>
      <protection hidden="1"/>
    </xf>
    <xf numFmtId="165" fontId="4" fillId="0" borderId="16" xfId="1" applyNumberFormat="1" applyFont="1" applyBorder="1" applyAlignment="1" applyProtection="1">
      <alignment horizontal="center"/>
      <protection hidden="1"/>
    </xf>
    <xf numFmtId="165" fontId="4" fillId="0" borderId="12" xfId="1" applyNumberFormat="1" applyFont="1" applyBorder="1" applyAlignment="1" applyProtection="1">
      <alignment horizontal="center"/>
      <protection hidden="1"/>
    </xf>
    <xf numFmtId="1" fontId="8" fillId="5" borderId="4" xfId="1" applyNumberFormat="1" applyFont="1" applyFill="1" applyBorder="1" applyAlignment="1" applyProtection="1">
      <alignment horizontal="center"/>
      <protection hidden="1"/>
    </xf>
    <xf numFmtId="166" fontId="4" fillId="0" borderId="5" xfId="1" applyNumberFormat="1" applyFont="1" applyBorder="1" applyProtection="1">
      <protection hidden="1"/>
    </xf>
    <xf numFmtId="165" fontId="4" fillId="0" borderId="3" xfId="1" applyNumberFormat="1" applyFont="1" applyBorder="1" applyProtection="1">
      <protection hidden="1"/>
    </xf>
    <xf numFmtId="165" fontId="4" fillId="0" borderId="5" xfId="1" applyNumberFormat="1" applyFont="1" applyBorder="1" applyProtection="1">
      <protection hidden="1"/>
    </xf>
    <xf numFmtId="165" fontId="4" fillId="0" borderId="4" xfId="1" applyNumberFormat="1" applyFont="1" applyBorder="1" applyProtection="1">
      <protection hidden="1"/>
    </xf>
    <xf numFmtId="165" fontId="4" fillId="0" borderId="6" xfId="1" applyNumberFormat="1" applyFont="1" applyBorder="1" applyProtection="1">
      <protection hidden="1"/>
    </xf>
    <xf numFmtId="165" fontId="4" fillId="0" borderId="1" xfId="1" applyNumberFormat="1" applyFont="1" applyBorder="1" applyProtection="1">
      <protection hidden="1"/>
    </xf>
    <xf numFmtId="165" fontId="4" fillId="0" borderId="9" xfId="1" applyNumberFormat="1" applyFont="1" applyBorder="1" applyProtection="1">
      <protection hidden="1"/>
    </xf>
    <xf numFmtId="1" fontId="8" fillId="5" borderId="9" xfId="1" applyNumberFormat="1" applyFont="1" applyFill="1" applyBorder="1" applyAlignment="1" applyProtection="1">
      <alignment horizontal="center"/>
      <protection hidden="1"/>
    </xf>
    <xf numFmtId="165" fontId="8" fillId="3" borderId="10" xfId="1" applyFont="1" applyFill="1" applyBorder="1" applyProtection="1">
      <protection locked="0" hidden="1"/>
    </xf>
    <xf numFmtId="167" fontId="8" fillId="3" borderId="8" xfId="1" applyNumberFormat="1" applyFont="1" applyFill="1" applyBorder="1" applyProtection="1">
      <protection locked="0" hidden="1"/>
    </xf>
    <xf numFmtId="166" fontId="4" fillId="0" borderId="10" xfId="1" applyNumberFormat="1" applyFont="1" applyBorder="1" applyProtection="1">
      <protection hidden="1"/>
    </xf>
    <xf numFmtId="165" fontId="4" fillId="0" borderId="8" xfId="1" applyNumberFormat="1" applyFont="1" applyBorder="1" applyProtection="1">
      <protection hidden="1"/>
    </xf>
    <xf numFmtId="165" fontId="4" fillId="0" borderId="10" xfId="1" applyNumberFormat="1" applyFont="1" applyBorder="1" applyProtection="1">
      <protection hidden="1"/>
    </xf>
    <xf numFmtId="165" fontId="4" fillId="0" borderId="11" xfId="1" applyNumberFormat="1" applyFont="1" applyBorder="1" applyProtection="1">
      <protection hidden="1"/>
    </xf>
    <xf numFmtId="165" fontId="4" fillId="0" borderId="7" xfId="1" applyNumberFormat="1" applyFont="1" applyBorder="1" applyProtection="1">
      <protection hidden="1"/>
    </xf>
    <xf numFmtId="165" fontId="8" fillId="0" borderId="8" xfId="0" applyNumberFormat="1" applyFont="1" applyFill="1" applyBorder="1" applyAlignment="1" applyProtection="1">
      <alignment horizontal="center"/>
      <protection hidden="1"/>
    </xf>
    <xf numFmtId="1" fontId="8" fillId="5" borderId="12" xfId="1" applyNumberFormat="1" applyFont="1" applyFill="1" applyBorder="1" applyAlignment="1" applyProtection="1">
      <alignment horizontal="center"/>
      <protection hidden="1"/>
    </xf>
    <xf numFmtId="166" fontId="4" fillId="0" borderId="13" xfId="1" applyNumberFormat="1" applyFont="1" applyBorder="1" applyProtection="1">
      <protection hidden="1"/>
    </xf>
    <xf numFmtId="165" fontId="4" fillId="0" borderId="14" xfId="1" applyNumberFormat="1" applyFont="1" applyBorder="1" applyProtection="1">
      <protection hidden="1"/>
    </xf>
    <xf numFmtId="165" fontId="4" fillId="0" borderId="13" xfId="1" applyNumberFormat="1" applyFont="1" applyBorder="1" applyProtection="1">
      <protection hidden="1"/>
    </xf>
    <xf numFmtId="165" fontId="4" fillId="0" borderId="12" xfId="1" applyNumberFormat="1" applyFont="1" applyBorder="1" applyProtection="1">
      <protection hidden="1"/>
    </xf>
    <xf numFmtId="165" fontId="4" fillId="0" borderId="15" xfId="1" applyNumberFormat="1" applyFont="1" applyBorder="1" applyProtection="1">
      <protection hidden="1"/>
    </xf>
    <xf numFmtId="165" fontId="4" fillId="0" borderId="16" xfId="1" applyNumberFormat="1" applyFont="1" applyBorder="1" applyProtection="1">
      <protection hidden="1"/>
    </xf>
    <xf numFmtId="164" fontId="8" fillId="0" borderId="0" xfId="1" applyNumberFormat="1" applyFont="1" applyFill="1" applyBorder="1" applyAlignment="1" applyProtection="1">
      <alignment horizontal="center"/>
      <protection hidden="1"/>
    </xf>
    <xf numFmtId="164" fontId="4" fillId="0" borderId="0" xfId="1" applyNumberFormat="1" applyFont="1" applyFill="1" applyBorder="1" applyAlignment="1" applyProtection="1">
      <alignment horizontal="center"/>
      <protection hidden="1"/>
    </xf>
    <xf numFmtId="166" fontId="4" fillId="0" borderId="9" xfId="1" applyNumberFormat="1" applyFont="1" applyBorder="1" applyProtection="1"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166" fontId="4" fillId="0" borderId="12" xfId="1" applyNumberFormat="1" applyFont="1" applyBorder="1" applyProtection="1">
      <protection hidden="1"/>
    </xf>
    <xf numFmtId="9" fontId="4" fillId="0" borderId="7" xfId="2" applyFont="1" applyBorder="1" applyAlignment="1" applyProtection="1">
      <alignment horizontal="center"/>
      <protection hidden="1"/>
    </xf>
    <xf numFmtId="165" fontId="15" fillId="0" borderId="7" xfId="1" applyFont="1" applyFill="1" applyBorder="1" applyProtection="1">
      <protection hidden="1"/>
    </xf>
    <xf numFmtId="168" fontId="4" fillId="0" borderId="8" xfId="2" applyNumberFormat="1" applyFont="1" applyFill="1" applyBorder="1" applyAlignment="1" applyProtection="1">
      <alignment horizontal="right"/>
      <protection hidden="1"/>
    </xf>
    <xf numFmtId="164" fontId="8" fillId="0" borderId="0" xfId="0" applyNumberFormat="1" applyFont="1" applyFill="1" applyBorder="1" applyAlignment="1" applyProtection="1">
      <alignment horizontal="center"/>
      <protection hidden="1"/>
    </xf>
    <xf numFmtId="9" fontId="4" fillId="0" borderId="16" xfId="2" applyFont="1" applyBorder="1" applyAlignment="1" applyProtection="1">
      <alignment horizontal="center"/>
      <protection hidden="1"/>
    </xf>
    <xf numFmtId="164" fontId="4" fillId="0" borderId="0" xfId="1" applyNumberFormat="1" applyFont="1" applyFill="1" applyBorder="1" applyProtection="1">
      <protection hidden="1"/>
    </xf>
    <xf numFmtId="165" fontId="4" fillId="0" borderId="16" xfId="1" applyFont="1" applyFill="1" applyBorder="1" applyProtection="1">
      <protection hidden="1"/>
    </xf>
    <xf numFmtId="165" fontId="4" fillId="0" borderId="17" xfId="1" applyFont="1" applyFill="1" applyBorder="1" applyProtection="1">
      <protection hidden="1"/>
    </xf>
    <xf numFmtId="168" fontId="8" fillId="0" borderId="14" xfId="2" applyNumberFormat="1" applyFont="1" applyFill="1" applyBorder="1" applyAlignment="1" applyProtection="1">
      <alignment horizontal="right"/>
      <protection hidden="1"/>
    </xf>
    <xf numFmtId="165" fontId="4" fillId="0" borderId="9" xfId="1" applyFont="1" applyBorder="1" applyProtection="1">
      <protection hidden="1"/>
    </xf>
    <xf numFmtId="165" fontId="12" fillId="0" borderId="0" xfId="1" applyFont="1" applyProtection="1">
      <protection hidden="1"/>
    </xf>
    <xf numFmtId="165" fontId="15" fillId="0" borderId="1" xfId="1" applyFont="1" applyFill="1" applyBorder="1" applyProtection="1">
      <protection hidden="1"/>
    </xf>
    <xf numFmtId="1" fontId="4" fillId="0" borderId="3" xfId="1" applyNumberFormat="1" applyFont="1" applyFill="1" applyBorder="1" applyAlignment="1" applyProtection="1">
      <alignment horizontal="center"/>
      <protection hidden="1"/>
    </xf>
    <xf numFmtId="1" fontId="4" fillId="0" borderId="0" xfId="1" applyNumberFormat="1" applyFont="1" applyFill="1" applyBorder="1" applyAlignment="1" applyProtection="1">
      <alignment horizontal="right"/>
      <protection hidden="1"/>
    </xf>
    <xf numFmtId="1" fontId="4" fillId="0" borderId="8" xfId="1" applyNumberFormat="1" applyFont="1" applyFill="1" applyBorder="1" applyAlignment="1" applyProtection="1">
      <alignment horizontal="left"/>
      <protection hidden="1"/>
    </xf>
    <xf numFmtId="0" fontId="2" fillId="0" borderId="0" xfId="0" applyFont="1" applyFill="1" applyBorder="1" applyProtection="1">
      <protection hidden="1"/>
    </xf>
    <xf numFmtId="165" fontId="4" fillId="0" borderId="8" xfId="0" applyNumberFormat="1" applyFont="1" applyFill="1" applyBorder="1" applyAlignment="1" applyProtection="1">
      <alignment horizontal="right"/>
      <protection hidden="1"/>
    </xf>
    <xf numFmtId="165" fontId="4" fillId="0" borderId="12" xfId="1" applyFont="1" applyBorder="1" applyProtection="1">
      <protection hidden="1"/>
    </xf>
    <xf numFmtId="0" fontId="4" fillId="0" borderId="0" xfId="0" applyFont="1" applyFill="1" applyBorder="1" applyProtection="1">
      <protection hidden="1"/>
    </xf>
    <xf numFmtId="166" fontId="4" fillId="0" borderId="4" xfId="1" applyNumberFormat="1" applyFont="1" applyBorder="1" applyProtection="1">
      <protection hidden="1"/>
    </xf>
    <xf numFmtId="9" fontId="4" fillId="0" borderId="1" xfId="2" applyFont="1" applyBorder="1" applyAlignment="1" applyProtection="1">
      <alignment horizontal="center"/>
      <protection hidden="1"/>
    </xf>
    <xf numFmtId="165" fontId="4" fillId="0" borderId="11" xfId="1" applyNumberFormat="1" applyFont="1" applyFill="1" applyBorder="1" applyProtection="1">
      <protection hidden="1"/>
    </xf>
    <xf numFmtId="165" fontId="4" fillId="0" borderId="10" xfId="1" applyNumberFormat="1" applyFont="1" applyFill="1" applyBorder="1" applyProtection="1">
      <protection hidden="1"/>
    </xf>
    <xf numFmtId="165" fontId="4" fillId="0" borderId="7" xfId="1" applyNumberFormat="1" applyFont="1" applyFill="1" applyBorder="1" applyProtection="1">
      <protection hidden="1"/>
    </xf>
    <xf numFmtId="9" fontId="4" fillId="0" borderId="7" xfId="2" applyFont="1" applyFill="1" applyBorder="1" applyAlignment="1" applyProtection="1">
      <alignment horizontal="center"/>
      <protection hidden="1"/>
    </xf>
    <xf numFmtId="165" fontId="4" fillId="0" borderId="9" xfId="1" applyNumberFormat="1" applyFont="1" applyFill="1" applyBorder="1" applyProtection="1">
      <protection hidden="1"/>
    </xf>
    <xf numFmtId="164" fontId="4" fillId="0" borderId="8" xfId="1" applyNumberFormat="1" applyFont="1" applyFill="1" applyBorder="1" applyProtection="1">
      <protection hidden="1"/>
    </xf>
    <xf numFmtId="165" fontId="4" fillId="0" borderId="15" xfId="1" applyNumberFormat="1" applyFont="1" applyFill="1" applyBorder="1" applyProtection="1">
      <protection hidden="1"/>
    </xf>
    <xf numFmtId="165" fontId="4" fillId="0" borderId="13" xfId="1" applyNumberFormat="1" applyFont="1" applyFill="1" applyBorder="1" applyProtection="1">
      <protection hidden="1"/>
    </xf>
    <xf numFmtId="165" fontId="4" fillId="0" borderId="16" xfId="1" applyNumberFormat="1" applyFont="1" applyFill="1" applyBorder="1" applyProtection="1">
      <protection hidden="1"/>
    </xf>
    <xf numFmtId="9" fontId="4" fillId="0" borderId="16" xfId="2" applyFont="1" applyFill="1" applyBorder="1" applyAlignment="1" applyProtection="1">
      <alignment horizontal="center"/>
      <protection hidden="1"/>
    </xf>
    <xf numFmtId="165" fontId="4" fillId="0" borderId="12" xfId="1" applyNumberFormat="1" applyFont="1" applyFill="1" applyBorder="1" applyProtection="1">
      <protection hidden="1"/>
    </xf>
    <xf numFmtId="165" fontId="4" fillId="0" borderId="12" xfId="1" applyFont="1" applyBorder="1" applyAlignment="1" applyProtection="1">
      <alignment horizontal="center"/>
      <protection hidden="1"/>
    </xf>
    <xf numFmtId="0" fontId="4" fillId="0" borderId="16" xfId="0" applyFont="1" applyFill="1" applyBorder="1" applyProtection="1">
      <protection hidden="1"/>
    </xf>
    <xf numFmtId="0" fontId="3" fillId="0" borderId="17" xfId="0" applyFont="1" applyFill="1" applyBorder="1" applyAlignment="1" applyProtection="1">
      <alignment horizontal="right"/>
      <protection hidden="1"/>
    </xf>
    <xf numFmtId="165" fontId="4" fillId="0" borderId="5" xfId="1" applyNumberFormat="1" applyFont="1" applyFill="1" applyBorder="1" applyProtection="1">
      <protection hidden="1"/>
    </xf>
    <xf numFmtId="166" fontId="4" fillId="0" borderId="4" xfId="1" applyNumberFormat="1" applyFont="1" applyFill="1" applyBorder="1" applyProtection="1">
      <protection hidden="1"/>
    </xf>
    <xf numFmtId="165" fontId="4" fillId="0" borderId="1" xfId="1" applyNumberFormat="1" applyFont="1" applyFill="1" applyBorder="1" applyProtection="1">
      <protection hidden="1"/>
    </xf>
    <xf numFmtId="9" fontId="4" fillId="0" borderId="1" xfId="2" applyFont="1" applyFill="1" applyBorder="1" applyAlignment="1" applyProtection="1">
      <alignment horizontal="center"/>
      <protection hidden="1"/>
    </xf>
    <xf numFmtId="9" fontId="4" fillId="0" borderId="1" xfId="1" applyNumberFormat="1" applyFont="1" applyFill="1" applyBorder="1" applyAlignment="1" applyProtection="1">
      <alignment horizontal="center"/>
      <protection hidden="1"/>
    </xf>
    <xf numFmtId="165" fontId="4" fillId="0" borderId="4" xfId="1" applyNumberFormat="1" applyFont="1" applyFill="1" applyBorder="1" applyProtection="1">
      <protection hidden="1"/>
    </xf>
    <xf numFmtId="9" fontId="4" fillId="0" borderId="7" xfId="1" applyNumberFormat="1" applyFont="1" applyFill="1" applyBorder="1" applyAlignment="1" applyProtection="1">
      <alignment horizontal="center"/>
      <protection hidden="1"/>
    </xf>
    <xf numFmtId="165" fontId="4" fillId="6" borderId="10" xfId="1" applyNumberFormat="1" applyFont="1" applyFill="1" applyBorder="1" applyProtection="1">
      <protection hidden="1"/>
    </xf>
    <xf numFmtId="166" fontId="4" fillId="6" borderId="9" xfId="1" applyNumberFormat="1" applyFont="1" applyFill="1" applyBorder="1" applyProtection="1">
      <protection hidden="1"/>
    </xf>
    <xf numFmtId="9" fontId="4" fillId="0" borderId="16" xfId="1" applyNumberFormat="1" applyFont="1" applyFill="1" applyBorder="1" applyAlignment="1" applyProtection="1">
      <alignment horizontal="center"/>
      <protection hidden="1"/>
    </xf>
    <xf numFmtId="165" fontId="4" fillId="7" borderId="0" xfId="1" applyFont="1" applyFill="1" applyProtection="1">
      <protection hidden="1"/>
    </xf>
    <xf numFmtId="165" fontId="16" fillId="6" borderId="16" xfId="1" applyFont="1" applyFill="1" applyBorder="1" applyAlignment="1" applyProtection="1">
      <alignment horizontal="center" vertical="center" wrapText="1"/>
      <protection hidden="1"/>
    </xf>
    <xf numFmtId="165" fontId="16" fillId="6" borderId="14" xfId="1" applyFont="1" applyFill="1" applyBorder="1" applyAlignment="1" applyProtection="1">
      <alignment horizontal="center" vertical="top" wrapText="1"/>
      <protection hidden="1"/>
    </xf>
    <xf numFmtId="1" fontId="16" fillId="6" borderId="7" xfId="1" applyNumberFormat="1" applyFont="1" applyFill="1" applyBorder="1" applyAlignment="1" applyProtection="1">
      <alignment horizontal="center" vertical="top" wrapText="1"/>
      <protection hidden="1"/>
    </xf>
    <xf numFmtId="170" fontId="16" fillId="3" borderId="8" xfId="1" applyNumberFormat="1" applyFont="1" applyFill="1" applyBorder="1" applyAlignment="1" applyProtection="1">
      <alignment horizontal="center" vertical="top" wrapText="1"/>
      <protection locked="0" hidden="1"/>
    </xf>
    <xf numFmtId="165" fontId="4" fillId="9" borderId="0" xfId="1" applyFont="1" applyFill="1" applyProtection="1">
      <protection hidden="1"/>
    </xf>
    <xf numFmtId="165" fontId="4" fillId="9" borderId="0" xfId="1" applyNumberFormat="1" applyFont="1" applyFill="1" applyProtection="1">
      <protection hidden="1"/>
    </xf>
    <xf numFmtId="1" fontId="16" fillId="9" borderId="16" xfId="1" applyNumberFormat="1" applyFont="1" applyFill="1" applyBorder="1" applyAlignment="1" applyProtection="1">
      <alignment horizontal="center" vertical="top" wrapText="1"/>
      <protection hidden="1"/>
    </xf>
    <xf numFmtId="170" fontId="16" fillId="9" borderId="14" xfId="1" applyNumberFormat="1" applyFont="1" applyFill="1" applyBorder="1" applyAlignment="1" applyProtection="1">
      <alignment horizontal="center" vertical="top" wrapText="1"/>
      <protection hidden="1"/>
    </xf>
    <xf numFmtId="165" fontId="1" fillId="9" borderId="0" xfId="1" applyFill="1" applyProtection="1">
      <protection hidden="1"/>
    </xf>
    <xf numFmtId="170" fontId="16" fillId="9" borderId="0" xfId="1" applyNumberFormat="1" applyFont="1" applyFill="1" applyBorder="1" applyAlignment="1" applyProtection="1">
      <alignment horizontal="center" vertical="top" wrapText="1"/>
      <protection hidden="1"/>
    </xf>
    <xf numFmtId="166" fontId="4" fillId="0" borderId="9" xfId="1" applyNumberFormat="1" applyFont="1" applyFill="1" applyBorder="1" applyProtection="1">
      <protection hidden="1"/>
    </xf>
    <xf numFmtId="165" fontId="4" fillId="0" borderId="0" xfId="1" applyNumberFormat="1" applyFont="1" applyAlignment="1" applyProtection="1">
      <alignment horizontal="center"/>
      <protection hidden="1"/>
    </xf>
    <xf numFmtId="165" fontId="9" fillId="10" borderId="0" xfId="1" applyFont="1" applyFill="1" applyProtection="1">
      <protection hidden="1"/>
    </xf>
    <xf numFmtId="165" fontId="4" fillId="10" borderId="0" xfId="1" applyFont="1" applyFill="1" applyProtection="1">
      <protection hidden="1"/>
    </xf>
    <xf numFmtId="165" fontId="1" fillId="0" borderId="0" xfId="1" applyFill="1" applyProtection="1">
      <protection hidden="1"/>
    </xf>
    <xf numFmtId="165" fontId="9" fillId="0" borderId="0" xfId="1" quotePrefix="1" applyFont="1" applyProtection="1">
      <protection hidden="1"/>
    </xf>
    <xf numFmtId="166" fontId="4" fillId="0" borderId="12" xfId="1" applyNumberFormat="1" applyFont="1" applyFill="1" applyBorder="1" applyProtection="1">
      <protection hidden="1"/>
    </xf>
    <xf numFmtId="165" fontId="18" fillId="0" borderId="0" xfId="1" applyFont="1" applyProtection="1">
      <protection hidden="1"/>
    </xf>
    <xf numFmtId="168" fontId="19" fillId="0" borderId="8" xfId="2" applyNumberFormat="1" applyFont="1" applyFill="1" applyBorder="1" applyAlignment="1" applyProtection="1">
      <alignment horizontal="right"/>
      <protection hidden="1"/>
    </xf>
    <xf numFmtId="165" fontId="9" fillId="0" borderId="0" xfId="1" applyNumberFormat="1" applyFont="1" applyProtection="1">
      <protection hidden="1"/>
    </xf>
    <xf numFmtId="165" fontId="9" fillId="0" borderId="0" xfId="1" applyFont="1" applyFill="1" applyAlignment="1" applyProtection="1">
      <alignment horizontal="left" vertical="top" wrapText="1"/>
      <protection hidden="1"/>
    </xf>
    <xf numFmtId="165" fontId="8" fillId="0" borderId="17" xfId="0" quotePrefix="1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165" fontId="4" fillId="0" borderId="8" xfId="0" applyNumberFormat="1" applyFont="1" applyFill="1" applyBorder="1" applyAlignment="1" applyProtection="1">
      <alignment horizontal="center"/>
      <protection hidden="1"/>
    </xf>
    <xf numFmtId="165" fontId="9" fillId="0" borderId="0" xfId="1" applyFont="1" applyAlignment="1" applyProtection="1">
      <alignment horizontal="right"/>
      <protection hidden="1"/>
    </xf>
    <xf numFmtId="171" fontId="1" fillId="0" borderId="0" xfId="1" applyNumberFormat="1" applyProtection="1">
      <protection hidden="1"/>
    </xf>
    <xf numFmtId="165" fontId="8" fillId="0" borderId="14" xfId="0" quotePrefix="1" applyNumberFormat="1" applyFont="1" applyFill="1" applyBorder="1" applyAlignment="1" applyProtection="1">
      <alignment horizontal="center"/>
      <protection hidden="1"/>
    </xf>
    <xf numFmtId="1" fontId="8" fillId="12" borderId="0" xfId="1" applyNumberFormat="1" applyFont="1" applyFill="1" applyAlignment="1" applyProtection="1">
      <alignment horizontal="center"/>
      <protection locked="0" hidden="1"/>
    </xf>
    <xf numFmtId="165" fontId="8" fillId="12" borderId="8" xfId="0" applyNumberFormat="1" applyFont="1" applyFill="1" applyBorder="1" applyAlignment="1" applyProtection="1">
      <alignment horizontal="center"/>
      <protection locked="0" hidden="1"/>
    </xf>
    <xf numFmtId="1" fontId="8" fillId="11" borderId="0" xfId="1" applyNumberFormat="1" applyFont="1" applyFill="1" applyAlignment="1" applyProtection="1">
      <alignment horizontal="center"/>
      <protection locked="0" hidden="1"/>
    </xf>
    <xf numFmtId="165" fontId="8" fillId="12" borderId="5" xfId="1" applyFont="1" applyFill="1" applyBorder="1" applyProtection="1">
      <protection locked="0" hidden="1"/>
    </xf>
    <xf numFmtId="167" fontId="8" fillId="12" borderId="3" xfId="1" applyNumberFormat="1" applyFont="1" applyFill="1" applyBorder="1" applyProtection="1">
      <protection locked="0" hidden="1"/>
    </xf>
    <xf numFmtId="165" fontId="8" fillId="12" borderId="10" xfId="1" applyFont="1" applyFill="1" applyBorder="1" applyProtection="1">
      <protection locked="0" hidden="1"/>
    </xf>
    <xf numFmtId="167" fontId="8" fillId="12" borderId="8" xfId="1" applyNumberFormat="1" applyFont="1" applyFill="1" applyBorder="1" applyProtection="1">
      <protection locked="0" hidden="1"/>
    </xf>
    <xf numFmtId="165" fontId="8" fillId="12" borderId="13" xfId="1" applyFont="1" applyFill="1" applyBorder="1" applyProtection="1">
      <protection locked="0" hidden="1"/>
    </xf>
    <xf numFmtId="167" fontId="8" fillId="12" borderId="14" xfId="1" applyNumberFormat="1" applyFont="1" applyFill="1" applyBorder="1" applyProtection="1">
      <protection locked="0" hidden="1"/>
    </xf>
    <xf numFmtId="165" fontId="9" fillId="10" borderId="1" xfId="1" applyFont="1" applyFill="1" applyBorder="1" applyProtection="1">
      <protection hidden="1"/>
    </xf>
    <xf numFmtId="0" fontId="3" fillId="10" borderId="2" xfId="0" applyFont="1" applyFill="1" applyBorder="1" applyAlignment="1" applyProtection="1">
      <alignment horizontal="right"/>
      <protection hidden="1"/>
    </xf>
    <xf numFmtId="165" fontId="12" fillId="10" borderId="2" xfId="0" applyNumberFormat="1" applyFont="1" applyFill="1" applyBorder="1" applyAlignment="1" applyProtection="1">
      <alignment horizontal="left"/>
      <protection hidden="1"/>
    </xf>
    <xf numFmtId="165" fontId="8" fillId="10" borderId="3" xfId="0" applyNumberFormat="1" applyFont="1" applyFill="1" applyBorder="1" applyAlignment="1" applyProtection="1">
      <alignment horizontal="center"/>
      <protection hidden="1"/>
    </xf>
    <xf numFmtId="165" fontId="4" fillId="10" borderId="7" xfId="1" applyFont="1" applyFill="1" applyBorder="1" applyProtection="1">
      <protection hidden="1"/>
    </xf>
    <xf numFmtId="165" fontId="4" fillId="10" borderId="0" xfId="1" applyFont="1" applyFill="1" applyBorder="1" applyProtection="1">
      <protection hidden="1"/>
    </xf>
    <xf numFmtId="169" fontId="4" fillId="10" borderId="8" xfId="1" applyNumberFormat="1" applyFont="1" applyFill="1" applyBorder="1" applyProtection="1">
      <protection hidden="1"/>
    </xf>
    <xf numFmtId="165" fontId="4" fillId="10" borderId="16" xfId="1" applyFont="1" applyFill="1" applyBorder="1" applyProtection="1">
      <protection hidden="1"/>
    </xf>
    <xf numFmtId="165" fontId="8" fillId="10" borderId="17" xfId="1" applyFont="1" applyFill="1" applyBorder="1" applyProtection="1">
      <protection hidden="1"/>
    </xf>
    <xf numFmtId="169" fontId="8" fillId="10" borderId="14" xfId="1" applyNumberFormat="1" applyFont="1" applyFill="1" applyBorder="1" applyProtection="1">
      <protection hidden="1"/>
    </xf>
    <xf numFmtId="170" fontId="16" fillId="12" borderId="8" xfId="1" applyNumberFormat="1" applyFont="1" applyFill="1" applyBorder="1" applyAlignment="1" applyProtection="1">
      <alignment horizontal="center" vertical="top" wrapText="1"/>
      <protection locked="0" hidden="1"/>
    </xf>
    <xf numFmtId="165" fontId="4" fillId="11" borderId="10" xfId="1" applyNumberFormat="1" applyFont="1" applyFill="1" applyBorder="1" applyProtection="1">
      <protection hidden="1"/>
    </xf>
    <xf numFmtId="166" fontId="4" fillId="11" borderId="9" xfId="1" applyNumberFormat="1" applyFont="1" applyFill="1" applyBorder="1" applyProtection="1">
      <protection hidden="1"/>
    </xf>
    <xf numFmtId="165" fontId="9" fillId="0" borderId="0" xfId="1" applyFont="1" applyFill="1" applyAlignment="1" applyProtection="1">
      <alignment horizontal="left" wrapText="1"/>
      <protection hidden="1"/>
    </xf>
    <xf numFmtId="0" fontId="0" fillId="0" borderId="0" xfId="0" applyAlignment="1">
      <alignment horizontal="left" wrapText="1"/>
    </xf>
    <xf numFmtId="165" fontId="9" fillId="0" borderId="16" xfId="1" applyFont="1" applyFill="1" applyBorder="1" applyProtection="1">
      <protection hidden="1"/>
    </xf>
    <xf numFmtId="165" fontId="4" fillId="0" borderId="17" xfId="1" applyFont="1" applyFill="1" applyBorder="1" applyAlignment="1" applyProtection="1">
      <alignment horizontal="right"/>
      <protection hidden="1"/>
    </xf>
    <xf numFmtId="165" fontId="8" fillId="12" borderId="14" xfId="0" applyNumberFormat="1" applyFont="1" applyFill="1" applyBorder="1" applyAlignment="1" applyProtection="1">
      <alignment horizontal="center"/>
      <protection locked="0" hidden="1"/>
    </xf>
    <xf numFmtId="165" fontId="8" fillId="11" borderId="8" xfId="0" applyNumberFormat="1" applyFont="1" applyFill="1" applyBorder="1" applyAlignment="1" applyProtection="1">
      <alignment horizontal="center"/>
      <protection locked="0" hidden="1"/>
    </xf>
    <xf numFmtId="165" fontId="17" fillId="6" borderId="1" xfId="1" applyFont="1" applyFill="1" applyBorder="1" applyAlignment="1" applyProtection="1">
      <alignment horizontal="left" vertical="top" wrapText="1"/>
      <protection hidden="1"/>
    </xf>
    <xf numFmtId="0" fontId="0" fillId="0" borderId="2" xfId="0" applyBorder="1" applyAlignment="1" applyProtection="1">
      <alignment horizontal="left" vertical="top" wrapText="1"/>
      <protection hidden="1"/>
    </xf>
    <xf numFmtId="0" fontId="0" fillId="0" borderId="7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165" fontId="16" fillId="6" borderId="1" xfId="1" applyFont="1" applyFill="1" applyBorder="1" applyAlignment="1" applyProtection="1">
      <alignment horizontal="center" vertical="center" wrapText="1"/>
      <protection hidden="1"/>
    </xf>
    <xf numFmtId="165" fontId="16" fillId="6" borderId="3" xfId="1" applyFont="1" applyFill="1" applyBorder="1" applyAlignment="1" applyProtection="1">
      <alignment horizontal="center" vertical="center" wrapText="1"/>
      <protection hidden="1"/>
    </xf>
    <xf numFmtId="165" fontId="16" fillId="6" borderId="7" xfId="1" applyFont="1" applyFill="1" applyBorder="1" applyAlignment="1" applyProtection="1">
      <alignment horizontal="center" vertical="center" wrapText="1"/>
      <protection hidden="1"/>
    </xf>
    <xf numFmtId="165" fontId="16" fillId="6" borderId="8" xfId="1" applyFont="1" applyFill="1" applyBorder="1" applyAlignment="1" applyProtection="1">
      <alignment horizontal="center" vertical="center" wrapText="1"/>
      <protection hidden="1"/>
    </xf>
    <xf numFmtId="165" fontId="16" fillId="6" borderId="16" xfId="1" applyFont="1" applyFill="1" applyBorder="1" applyAlignment="1" applyProtection="1">
      <alignment horizontal="center" vertical="center" wrapText="1"/>
      <protection hidden="1"/>
    </xf>
    <xf numFmtId="165" fontId="16" fillId="6" borderId="14" xfId="1" applyFont="1" applyFill="1" applyBorder="1" applyAlignment="1" applyProtection="1">
      <alignment horizontal="center" vertical="center" wrapText="1"/>
      <protection hidden="1"/>
    </xf>
    <xf numFmtId="165" fontId="4" fillId="0" borderId="4" xfId="1" applyFont="1" applyBorder="1" applyAlignment="1" applyProtection="1">
      <alignment horizontal="center" wrapText="1"/>
      <protection hidden="1"/>
    </xf>
    <xf numFmtId="165" fontId="4" fillId="0" borderId="9" xfId="1" applyFont="1" applyBorder="1" applyAlignment="1" applyProtection="1">
      <alignment horizontal="center" wrapText="1"/>
      <protection hidden="1"/>
    </xf>
    <xf numFmtId="165" fontId="5" fillId="0" borderId="0" xfId="1" applyFont="1" applyFill="1" applyAlignment="1" applyProtection="1">
      <alignment horizontal="center" vertical="center"/>
      <protection hidden="1"/>
    </xf>
    <xf numFmtId="165" fontId="7" fillId="0" borderId="0" xfId="1" applyFont="1" applyFill="1" applyAlignment="1" applyProtection="1">
      <alignment horizontal="center"/>
      <protection hidden="1"/>
    </xf>
    <xf numFmtId="165" fontId="4" fillId="0" borderId="7" xfId="1" applyFont="1" applyFill="1" applyBorder="1" applyAlignment="1" applyProtection="1">
      <alignment wrapText="1"/>
      <protection hidden="1"/>
    </xf>
    <xf numFmtId="0" fontId="20" fillId="0" borderId="0" xfId="0" applyFont="1" applyAlignment="1">
      <alignment wrapText="1"/>
    </xf>
    <xf numFmtId="0" fontId="20" fillId="0" borderId="7" xfId="0" applyFont="1" applyBorder="1" applyAlignment="1">
      <alignment wrapText="1"/>
    </xf>
  </cellXfs>
  <cellStyles count="3">
    <cellStyle name="Normální" xfId="0" builtinId="0"/>
    <cellStyle name="PB_TR10" xfId="1" xr:uid="{00000000-0005-0000-0000-000001000000}"/>
    <cellStyle name="Procenta" xfId="2" builtinId="5"/>
  </cellStyles>
  <dxfs count="76"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11"/>
        </patternFill>
      </fill>
    </dxf>
    <dxf>
      <font>
        <condense val="0"/>
        <extend val="0"/>
        <color indexed="9"/>
      </font>
    </dxf>
    <dxf>
      <fill>
        <patternFill>
          <bgColor rgb="FF92D050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ill>
        <patternFill>
          <bgColor indexed="35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9"/>
  <sheetViews>
    <sheetView showGridLines="0" tabSelected="1" zoomScale="115" zoomScaleNormal="115" workbookViewId="0">
      <selection activeCell="D7" sqref="D7"/>
    </sheetView>
  </sheetViews>
  <sheetFormatPr defaultColWidth="9.42578125" defaultRowHeight="12.75" x14ac:dyDescent="0.2"/>
  <cols>
    <col min="1" max="1" width="12.5703125" style="4" customWidth="1"/>
    <col min="2" max="2" width="17.5703125" style="4" customWidth="1"/>
    <col min="3" max="3" width="12.85546875" style="4" customWidth="1"/>
    <col min="4" max="4" width="13.5703125" style="4" customWidth="1"/>
    <col min="5" max="5" width="1.5703125" style="4" customWidth="1"/>
    <col min="6" max="6" width="6.5703125" style="4" customWidth="1"/>
    <col min="7" max="7" width="12.5703125" style="4" customWidth="1"/>
    <col min="8" max="9" width="11.5703125" style="4" customWidth="1"/>
    <col min="10" max="10" width="12.5703125" style="4" customWidth="1"/>
    <col min="11" max="11" width="11" style="4" customWidth="1"/>
    <col min="12" max="12" width="11" style="4" bestFit="1" customWidth="1"/>
    <col min="13" max="13" width="9.5703125" style="4" hidden="1" customWidth="1"/>
    <col min="14" max="14" width="9.85546875" style="4" hidden="1" customWidth="1"/>
    <col min="15" max="15" width="33" style="4" hidden="1" customWidth="1"/>
    <col min="16" max="18" width="11" style="4" hidden="1" customWidth="1"/>
    <col min="19" max="19" width="8.28515625" style="4" hidden="1" customWidth="1"/>
    <col min="20" max="20" width="9.28515625" style="4" hidden="1" customWidth="1"/>
    <col min="21" max="21" width="11.42578125" style="4" hidden="1" customWidth="1"/>
    <col min="22" max="22" width="8.42578125" style="4" hidden="1" customWidth="1"/>
    <col min="23" max="23" width="9.5703125" style="4" hidden="1" customWidth="1"/>
    <col min="24" max="24" width="159.140625" style="4" hidden="1" customWidth="1"/>
    <col min="25" max="26" width="8" style="4" hidden="1" customWidth="1"/>
    <col min="27" max="27" width="21.7109375" style="4" hidden="1" customWidth="1"/>
    <col min="28" max="16384" width="9.42578125" style="4"/>
  </cols>
  <sheetData>
    <row r="1" spans="1:27" ht="18.75" x14ac:dyDescent="0.25">
      <c r="A1" s="1"/>
      <c r="B1" s="199" t="str">
        <f>"Orientační výpočet výše starobního důchodu při jeho přiznání v letech 2004 až  "&amp;max</f>
        <v>Orientační výpočet výše starobního důchodu při jeho přiznání v letech 2004 až  2026</v>
      </c>
      <c r="C1" s="199"/>
      <c r="D1" s="199"/>
      <c r="E1" s="199"/>
      <c r="F1" s="199"/>
      <c r="G1" s="199"/>
      <c r="H1" s="199"/>
      <c r="I1" s="199"/>
      <c r="J1" s="199"/>
      <c r="K1" s="199"/>
      <c r="L1" s="2"/>
      <c r="M1" s="3" t="s">
        <v>0</v>
      </c>
      <c r="N1" s="3" t="s">
        <v>0</v>
      </c>
      <c r="O1" s="3" t="s">
        <v>0</v>
      </c>
      <c r="P1" s="3" t="s">
        <v>0</v>
      </c>
      <c r="Q1" s="3" t="s">
        <v>0</v>
      </c>
      <c r="R1" s="3" t="s">
        <v>0</v>
      </c>
      <c r="S1" s="3" t="s">
        <v>0</v>
      </c>
      <c r="T1" s="3" t="s">
        <v>0</v>
      </c>
      <c r="U1" s="3" t="s">
        <v>0</v>
      </c>
      <c r="V1" s="3" t="s">
        <v>0</v>
      </c>
      <c r="W1" s="3" t="s">
        <v>0</v>
      </c>
      <c r="X1" s="3" t="s">
        <v>0</v>
      </c>
      <c r="Y1" s="3" t="s">
        <v>0</v>
      </c>
      <c r="Z1" s="3" t="s">
        <v>0</v>
      </c>
      <c r="AA1" s="3" t="s">
        <v>0</v>
      </c>
    </row>
    <row r="2" spans="1:27" ht="15" x14ac:dyDescent="0.25">
      <c r="A2" s="200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5" t="s">
        <v>2</v>
      </c>
      <c r="Y2" s="5"/>
    </row>
    <row r="3" spans="1:27" ht="15" x14ac:dyDescent="0.25">
      <c r="A3" s="6"/>
      <c r="B3" s="6"/>
      <c r="C3" s="7" t="s">
        <v>3</v>
      </c>
      <c r="D3" s="159">
        <v>2026</v>
      </c>
      <c r="F3" s="8"/>
      <c r="H3" s="156" t="s">
        <v>94</v>
      </c>
      <c r="I3" s="161"/>
      <c r="J3" s="9" t="s">
        <v>4</v>
      </c>
      <c r="K3" s="10">
        <f>IF(OR(RP&lt;2011,AND(RP=2011,LEFT(TRIM(J3),1)="A")),0,1)</f>
        <v>1</v>
      </c>
      <c r="L3" s="2"/>
      <c r="M3" s="143" t="s">
        <v>88</v>
      </c>
      <c r="N3" s="12">
        <v>2026</v>
      </c>
      <c r="O3" s="2" t="s">
        <v>87</v>
      </c>
      <c r="P3" s="2"/>
      <c r="Q3" s="2"/>
      <c r="R3" s="11">
        <v>2026</v>
      </c>
      <c r="S3" s="2"/>
      <c r="T3" s="2"/>
      <c r="U3" s="2"/>
      <c r="V3" s="5"/>
      <c r="W3" s="2"/>
      <c r="X3" s="13">
        <f>1+IF(AND(D18&gt;0,D22&gt;0),3,IF(AND(SUM($D$10:$D$11)&gt;0,SUM($D$18:$D$22)&gt;0),2,IF(D7&lt;1,1,0)))</f>
        <v>2</v>
      </c>
      <c r="Y3" s="5">
        <v>1</v>
      </c>
      <c r="Z3" s="4">
        <f>IF(RP&lt;2002,1,IF(RP&lt;2010,2,IF(RP&lt;2012,3,IF(RP&lt;2024,IF(AND(RP=2023,MP&gt;=10),5,4),IF(AND(RP&gt;2025,D7&gt;=45,D22="Ano"),6,5)))))</f>
        <v>5</v>
      </c>
    </row>
    <row r="4" spans="1:27" ht="15.75" thickBot="1" x14ac:dyDescent="0.3">
      <c r="A4" s="14"/>
      <c r="B4" s="14"/>
      <c r="C4" s="14"/>
      <c r="D4" s="147" t="str">
        <f>IF(RP=2011,"důchod přiznán před 30. září 2011 ?   ano / ne",IF(RP&gt;max,"Pro tento rok zde nelze výši důchodu spočítat",IF(RP&gt;maxB,"pro tento rok podle odhadovaného růstu mezd","")))&amp;IF(RP&lt;2004,"Pro tento rok je výpočet platný s omezením  *)","")</f>
        <v/>
      </c>
      <c r="E4" s="147"/>
      <c r="F4" s="147"/>
      <c r="G4" s="147"/>
      <c r="H4" s="147"/>
      <c r="I4" s="14"/>
      <c r="J4" s="1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5"/>
      <c r="Y4" s="5">
        <v>2</v>
      </c>
    </row>
    <row r="5" spans="1:27" ht="15" x14ac:dyDescent="0.25">
      <c r="A5" s="16" t="s">
        <v>5</v>
      </c>
      <c r="B5" s="17"/>
      <c r="C5" s="17"/>
      <c r="D5" s="18"/>
      <c r="E5" s="19"/>
      <c r="F5" s="20" t="s">
        <v>6</v>
      </c>
      <c r="G5" s="21" t="s">
        <v>7</v>
      </c>
      <c r="H5" s="22" t="s">
        <v>8</v>
      </c>
      <c r="I5" s="23" t="s">
        <v>9</v>
      </c>
      <c r="J5" s="24" t="s">
        <v>10</v>
      </c>
      <c r="K5" s="25" t="s">
        <v>11</v>
      </c>
      <c r="L5" s="26" t="s">
        <v>12</v>
      </c>
      <c r="M5" s="27" t="s">
        <v>13</v>
      </c>
      <c r="N5" s="25" t="s">
        <v>13</v>
      </c>
      <c r="O5" s="25" t="s">
        <v>13</v>
      </c>
      <c r="P5" s="25" t="s">
        <v>14</v>
      </c>
      <c r="Q5" s="25" t="s">
        <v>14</v>
      </c>
      <c r="R5" s="25" t="s">
        <v>14</v>
      </c>
      <c r="S5" s="28" t="s">
        <v>15</v>
      </c>
      <c r="T5" s="26" t="s">
        <v>16</v>
      </c>
      <c r="U5" s="29" t="s">
        <v>17</v>
      </c>
      <c r="V5" s="197" t="s">
        <v>18</v>
      </c>
      <c r="W5" s="29" t="s">
        <v>93</v>
      </c>
      <c r="X5" s="30" t="s">
        <v>19</v>
      </c>
      <c r="Y5" s="5">
        <v>3</v>
      </c>
    </row>
    <row r="6" spans="1:27" ht="15" x14ac:dyDescent="0.25">
      <c r="A6" s="31" t="s">
        <v>20</v>
      </c>
      <c r="B6" s="32"/>
      <c r="C6" s="32"/>
      <c r="D6" s="33"/>
      <c r="E6" s="19"/>
      <c r="F6" s="34" t="s">
        <v>21</v>
      </c>
      <c r="G6" s="35" t="s">
        <v>22</v>
      </c>
      <c r="H6" s="36" t="s">
        <v>23</v>
      </c>
      <c r="I6" s="37" t="s">
        <v>24</v>
      </c>
      <c r="J6" s="38" t="s">
        <v>25</v>
      </c>
      <c r="K6" s="39" t="s">
        <v>25</v>
      </c>
      <c r="L6" s="40" t="s">
        <v>26</v>
      </c>
      <c r="M6" s="41" t="s">
        <v>27</v>
      </c>
      <c r="N6" s="39" t="s">
        <v>27</v>
      </c>
      <c r="O6" s="39" t="s">
        <v>27</v>
      </c>
      <c r="P6" s="39" t="s">
        <v>28</v>
      </c>
      <c r="Q6" s="39" t="s">
        <v>28</v>
      </c>
      <c r="R6" s="39" t="s">
        <v>28</v>
      </c>
      <c r="S6" s="42" t="s">
        <v>29</v>
      </c>
      <c r="T6" s="40" t="s">
        <v>30</v>
      </c>
      <c r="U6" s="43" t="s">
        <v>25</v>
      </c>
      <c r="V6" s="198"/>
      <c r="W6" s="43"/>
      <c r="X6" s="30" t="s">
        <v>31</v>
      </c>
      <c r="Y6" s="5">
        <v>4</v>
      </c>
      <c r="Z6" s="157">
        <f>0.006*C28</f>
        <v>0</v>
      </c>
      <c r="AA6" s="4" t="s">
        <v>95</v>
      </c>
    </row>
    <row r="7" spans="1:27" ht="15.75" thickBot="1" x14ac:dyDescent="0.3">
      <c r="A7" s="44"/>
      <c r="B7" s="45"/>
      <c r="C7" s="46" t="str">
        <f>IF(RP&lt;2026,"se sazbou 1,5%","se sazbou 1,495%")</f>
        <v>se sazbou 1,495%</v>
      </c>
      <c r="D7" s="160"/>
      <c r="E7" s="19"/>
      <c r="F7" s="47"/>
      <c r="G7" s="48" t="s">
        <v>32</v>
      </c>
      <c r="H7" s="49" t="s">
        <v>33</v>
      </c>
      <c r="I7" s="50" t="s">
        <v>34</v>
      </c>
      <c r="J7" s="51" t="s">
        <v>22</v>
      </c>
      <c r="K7" s="52" t="s">
        <v>22</v>
      </c>
      <c r="L7" s="53">
        <f>VLOOKUP(RP-2,MTC,6)*VLOOKUP(RP-2,MTC,7)</f>
        <v>48966.751800000005</v>
      </c>
      <c r="M7" s="54" t="s">
        <v>35</v>
      </c>
      <c r="N7" s="52" t="s">
        <v>36</v>
      </c>
      <c r="O7" s="52" t="s">
        <v>37</v>
      </c>
      <c r="P7" s="52" t="s">
        <v>38</v>
      </c>
      <c r="Q7" s="52" t="s">
        <v>39</v>
      </c>
      <c r="R7" s="52" t="s">
        <v>40</v>
      </c>
      <c r="S7" s="55"/>
      <c r="T7" s="56"/>
      <c r="U7" s="56" t="s">
        <v>22</v>
      </c>
      <c r="V7" s="56" t="s">
        <v>41</v>
      </c>
      <c r="W7" s="56"/>
      <c r="X7" s="30" t="s">
        <v>42</v>
      </c>
      <c r="Y7" s="5">
        <v>5</v>
      </c>
      <c r="Z7" s="157">
        <f>0.009*C28</f>
        <v>0</v>
      </c>
      <c r="AA7" s="4" t="s">
        <v>96</v>
      </c>
    </row>
    <row r="8" spans="1:27" ht="15" x14ac:dyDescent="0.25">
      <c r="A8" s="44" t="s">
        <v>43</v>
      </c>
      <c r="B8" s="45"/>
      <c r="C8" s="45"/>
      <c r="D8" s="33"/>
      <c r="E8" s="19"/>
      <c r="F8" s="57">
        <v>1986</v>
      </c>
      <c r="G8" s="162"/>
      <c r="H8" s="163"/>
      <c r="I8" s="58">
        <f t="shared" ref="I8:I48" si="0">IF(F8=RP-1,1,ROUND($L$7/K8,4))</f>
        <v>16.520499999999998</v>
      </c>
      <c r="J8" s="59">
        <f>CEILING($G8*I8,1)</f>
        <v>0</v>
      </c>
      <c r="K8" s="60">
        <v>2964</v>
      </c>
      <c r="L8" s="61"/>
      <c r="M8" s="62"/>
      <c r="N8" s="60"/>
      <c r="O8" s="63"/>
      <c r="P8" s="63"/>
      <c r="Q8" s="63"/>
      <c r="R8" s="63"/>
      <c r="S8" s="63"/>
      <c r="T8" s="61"/>
      <c r="U8" s="64"/>
      <c r="V8" s="61"/>
      <c r="W8" s="64"/>
      <c r="X8" s="5"/>
      <c r="Y8" s="5">
        <v>6</v>
      </c>
      <c r="Z8" s="157">
        <f>0.009*MIN(8,C28)+0.015*MAX(0,C28-8)</f>
        <v>0</v>
      </c>
      <c r="AA8" s="4" t="s">
        <v>96</v>
      </c>
    </row>
    <row r="9" spans="1:27" ht="15" x14ac:dyDescent="0.25">
      <c r="A9" s="44" t="s">
        <v>44</v>
      </c>
      <c r="B9" s="45"/>
      <c r="C9" s="45"/>
      <c r="D9" s="33"/>
      <c r="E9" s="19"/>
      <c r="F9" s="65">
        <f t="shared" ref="F9:F51" si="1">F8+1</f>
        <v>1987</v>
      </c>
      <c r="G9" s="164"/>
      <c r="H9" s="165"/>
      <c r="I9" s="68">
        <f t="shared" si="0"/>
        <v>16.181999999999999</v>
      </c>
      <c r="J9" s="69">
        <f t="shared" ref="J9:J29" si="2">CEILING($G9*I9,1)</f>
        <v>0</v>
      </c>
      <c r="K9" s="70">
        <v>3026</v>
      </c>
      <c r="L9" s="64"/>
      <c r="M9" s="71"/>
      <c r="N9" s="70"/>
      <c r="O9" s="72"/>
      <c r="P9" s="72"/>
      <c r="Q9" s="72"/>
      <c r="R9" s="72"/>
      <c r="S9" s="72"/>
      <c r="T9" s="64"/>
      <c r="U9" s="64"/>
      <c r="V9" s="64"/>
      <c r="W9" s="64"/>
      <c r="X9" s="5" t="s">
        <v>45</v>
      </c>
      <c r="Y9" s="5">
        <v>7</v>
      </c>
      <c r="Z9" s="157">
        <f>0.009*MIN(4,C28)+0.012*MAX(0,C28-4)+0.003*MAX(0,C28-8)</f>
        <v>0</v>
      </c>
      <c r="AA9" s="4" t="s">
        <v>98</v>
      </c>
    </row>
    <row r="10" spans="1:27" ht="15" x14ac:dyDescent="0.25">
      <c r="A10" s="44" t="s">
        <v>46</v>
      </c>
      <c r="B10" s="45"/>
      <c r="C10" s="46" t="s">
        <v>47</v>
      </c>
      <c r="D10" s="160"/>
      <c r="E10" s="19"/>
      <c r="F10" s="65">
        <f t="shared" si="1"/>
        <v>1988</v>
      </c>
      <c r="G10" s="164"/>
      <c r="H10" s="165"/>
      <c r="I10" s="68">
        <f t="shared" si="0"/>
        <v>15.821199999999999</v>
      </c>
      <c r="J10" s="69">
        <f t="shared" si="2"/>
        <v>0</v>
      </c>
      <c r="K10" s="70">
        <v>3095</v>
      </c>
      <c r="L10" s="64"/>
      <c r="M10" s="71"/>
      <c r="N10" s="70"/>
      <c r="O10" s="72"/>
      <c r="P10" s="72"/>
      <c r="Q10" s="72"/>
      <c r="R10" s="72"/>
      <c r="S10" s="72"/>
      <c r="T10" s="64"/>
      <c r="U10" s="64"/>
      <c r="V10" s="64"/>
      <c r="W10" s="64"/>
      <c r="X10" s="5" t="s">
        <v>48</v>
      </c>
      <c r="Y10" s="5">
        <v>8</v>
      </c>
      <c r="Z10" s="157">
        <f>C28*0.015</f>
        <v>0</v>
      </c>
      <c r="AA10" s="4" t="s">
        <v>97</v>
      </c>
    </row>
    <row r="11" spans="1:27" ht="15" x14ac:dyDescent="0.25">
      <c r="A11" s="44" t="s">
        <v>49</v>
      </c>
      <c r="B11" s="45"/>
      <c r="C11" s="46" t="s">
        <v>50</v>
      </c>
      <c r="D11" s="160"/>
      <c r="E11" s="19"/>
      <c r="F11" s="65">
        <f t="shared" si="1"/>
        <v>1989</v>
      </c>
      <c r="G11" s="164"/>
      <c r="H11" s="165"/>
      <c r="I11" s="68">
        <f t="shared" si="0"/>
        <v>15.446899999999999</v>
      </c>
      <c r="J11" s="69">
        <f t="shared" si="2"/>
        <v>0</v>
      </c>
      <c r="K11" s="70">
        <v>3170</v>
      </c>
      <c r="L11" s="64"/>
      <c r="M11" s="71"/>
      <c r="N11" s="70"/>
      <c r="O11" s="72"/>
      <c r="P11" s="72"/>
      <c r="Q11" s="72"/>
      <c r="R11" s="72"/>
      <c r="S11" s="72"/>
      <c r="T11" s="64"/>
      <c r="U11" s="64"/>
      <c r="V11" s="64"/>
      <c r="W11" s="64"/>
      <c r="X11" s="5" t="s">
        <v>51</v>
      </c>
      <c r="Y11" s="5">
        <v>9</v>
      </c>
      <c r="Z11" s="157">
        <f>C28*0.0075</f>
        <v>0</v>
      </c>
      <c r="AA11" s="4" t="s">
        <v>99</v>
      </c>
    </row>
    <row r="12" spans="1:27" ht="15.75" thickBot="1" x14ac:dyDescent="0.3">
      <c r="A12" s="44" t="str">
        <f>IF(RP&gt;2009," při pobírání 1/2 důchodu - počet pololetí (ukončených 180 dnů","")</f>
        <v xml:space="preserve"> při pobírání 1/2 důchodu - počet pololetí (ukončených 180 dnů</v>
      </c>
      <c r="B12" s="45"/>
      <c r="C12" s="46"/>
      <c r="D12" s="73"/>
      <c r="E12" s="19"/>
      <c r="F12" s="74">
        <f t="shared" si="1"/>
        <v>1990</v>
      </c>
      <c r="G12" s="166"/>
      <c r="H12" s="167"/>
      <c r="I12" s="75">
        <f t="shared" si="0"/>
        <v>14.9016</v>
      </c>
      <c r="J12" s="76">
        <f t="shared" si="2"/>
        <v>0</v>
      </c>
      <c r="K12" s="77">
        <v>3286</v>
      </c>
      <c r="L12" s="78"/>
      <c r="M12" s="79"/>
      <c r="N12" s="77"/>
      <c r="O12" s="80"/>
      <c r="P12" s="80"/>
      <c r="Q12" s="80"/>
      <c r="R12" s="80"/>
      <c r="S12" s="80"/>
      <c r="T12" s="78"/>
      <c r="U12" s="64"/>
      <c r="V12" s="78"/>
      <c r="W12" s="64"/>
      <c r="X12" s="5" t="s">
        <v>52</v>
      </c>
      <c r="Y12" s="5">
        <v>10</v>
      </c>
    </row>
    <row r="13" spans="1:27" ht="15" x14ac:dyDescent="0.25">
      <c r="A13" s="44" t="str">
        <f>IF(RP&gt;2009,"    po 1.1.2010)","")</f>
        <v xml:space="preserve">    po 1.1.2010)</v>
      </c>
      <c r="B13" s="45"/>
      <c r="C13" s="46" t="str">
        <f>IF(RP&gt;2009,"zvýšení sazby o 1,5%","")</f>
        <v>zvýšení sazby o 1,5%</v>
      </c>
      <c r="D13" s="160"/>
      <c r="E13" s="19"/>
      <c r="F13" s="65">
        <f t="shared" si="1"/>
        <v>1991</v>
      </c>
      <c r="G13" s="164"/>
      <c r="H13" s="165"/>
      <c r="I13" s="68">
        <f t="shared" si="0"/>
        <v>12.9132</v>
      </c>
      <c r="J13" s="69">
        <f t="shared" si="2"/>
        <v>0</v>
      </c>
      <c r="K13" s="70">
        <v>3792</v>
      </c>
      <c r="L13" s="64"/>
      <c r="M13" s="7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5" t="s">
        <v>53</v>
      </c>
      <c r="Y13" s="5">
        <v>11</v>
      </c>
    </row>
    <row r="14" spans="1:27" ht="15" x14ac:dyDescent="0.25">
      <c r="A14" s="44" t="str">
        <f>IF(RP&gt;2009," při pobírání plného důchodu - počet roků (ukončených 360 dnů","")</f>
        <v xml:space="preserve"> při pobírání plného důchodu - počet roků (ukončených 360 dnů</v>
      </c>
      <c r="B14" s="45"/>
      <c r="C14" s="46"/>
      <c r="D14" s="73"/>
      <c r="E14" s="19"/>
      <c r="F14" s="65">
        <f t="shared" si="1"/>
        <v>1992</v>
      </c>
      <c r="G14" s="164"/>
      <c r="H14" s="165"/>
      <c r="I14" s="68">
        <f t="shared" si="0"/>
        <v>10.5441</v>
      </c>
      <c r="J14" s="69">
        <f t="shared" si="2"/>
        <v>0</v>
      </c>
      <c r="K14" s="70">
        <v>4644</v>
      </c>
      <c r="L14" s="64"/>
      <c r="M14" s="71"/>
      <c r="N14" s="70"/>
      <c r="O14" s="72"/>
      <c r="P14" s="72"/>
      <c r="Q14" s="72"/>
      <c r="R14" s="72"/>
      <c r="S14" s="72"/>
      <c r="T14" s="64"/>
      <c r="U14" s="64"/>
      <c r="V14" s="64"/>
      <c r="W14" s="64"/>
      <c r="X14" s="5" t="s">
        <v>54</v>
      </c>
      <c r="Y14" s="5">
        <v>12</v>
      </c>
    </row>
    <row r="15" spans="1:27" ht="15" x14ac:dyDescent="0.25">
      <c r="A15" s="44" t="str">
        <f>IF(RP&gt;2009,"    po 1.1.2010)","")</f>
        <v xml:space="preserve">    po 1.1.2010)</v>
      </c>
      <c r="B15" s="45"/>
      <c r="C15" s="46" t="str">
        <f>IF(RP&gt;2009,"zvýšení sazby o 0,4%","")</f>
        <v>zvýšení sazby o 0,4%</v>
      </c>
      <c r="D15" s="160"/>
      <c r="E15" s="81"/>
      <c r="F15" s="65">
        <f t="shared" si="1"/>
        <v>1993</v>
      </c>
      <c r="G15" s="164"/>
      <c r="H15" s="165"/>
      <c r="I15" s="68">
        <f t="shared" si="0"/>
        <v>8.4178999999999995</v>
      </c>
      <c r="J15" s="69">
        <f t="shared" si="2"/>
        <v>0</v>
      </c>
      <c r="K15" s="70">
        <v>5817</v>
      </c>
      <c r="L15" s="64"/>
      <c r="M15" s="71"/>
      <c r="N15" s="70"/>
      <c r="O15" s="72"/>
      <c r="P15" s="72"/>
      <c r="Q15" s="72"/>
      <c r="R15" s="72"/>
      <c r="S15" s="72"/>
      <c r="T15" s="64"/>
      <c r="U15" s="64"/>
      <c r="V15" s="64"/>
      <c r="W15" s="64"/>
      <c r="X15" s="5" t="s">
        <v>55</v>
      </c>
      <c r="Y15" s="5"/>
    </row>
    <row r="16" spans="1:27" ht="15" x14ac:dyDescent="0.25">
      <c r="A16" s="44" t="s">
        <v>56</v>
      </c>
      <c r="B16" s="45"/>
      <c r="C16" s="45"/>
      <c r="D16" s="33"/>
      <c r="E16" s="82"/>
      <c r="F16" s="65">
        <f t="shared" si="1"/>
        <v>1994</v>
      </c>
      <c r="G16" s="164"/>
      <c r="H16" s="165"/>
      <c r="I16" s="68">
        <f t="shared" si="0"/>
        <v>7.1006999999999998</v>
      </c>
      <c r="J16" s="69">
        <f t="shared" si="2"/>
        <v>0</v>
      </c>
      <c r="K16" s="70">
        <v>6896</v>
      </c>
      <c r="L16" s="83">
        <v>1.1914</v>
      </c>
      <c r="M16" s="71"/>
      <c r="N16" s="70"/>
      <c r="O16" s="72"/>
      <c r="P16" s="72"/>
      <c r="Q16" s="72"/>
      <c r="R16" s="72"/>
      <c r="S16" s="72"/>
      <c r="T16" s="64"/>
      <c r="U16" s="64"/>
      <c r="V16" s="64"/>
      <c r="W16" s="64"/>
      <c r="X16" s="5" t="s">
        <v>83</v>
      </c>
      <c r="Y16" s="5"/>
    </row>
    <row r="17" spans="1:28" ht="15.75" thickBot="1" x14ac:dyDescent="0.3">
      <c r="A17" s="44" t="s">
        <v>57</v>
      </c>
      <c r="B17" s="45"/>
      <c r="C17" s="45"/>
      <c r="D17" s="33"/>
      <c r="E17" s="84"/>
      <c r="F17" s="74">
        <f t="shared" si="1"/>
        <v>1995</v>
      </c>
      <c r="G17" s="166"/>
      <c r="H17" s="167"/>
      <c r="I17" s="75">
        <f t="shared" si="0"/>
        <v>5.992</v>
      </c>
      <c r="J17" s="76">
        <f t="shared" si="2"/>
        <v>0</v>
      </c>
      <c r="K17" s="77">
        <v>8172</v>
      </c>
      <c r="L17" s="85">
        <v>1.1978</v>
      </c>
      <c r="M17" s="79"/>
      <c r="N17" s="77"/>
      <c r="O17" s="80"/>
      <c r="P17" s="80"/>
      <c r="Q17" s="80"/>
      <c r="R17" s="80"/>
      <c r="S17" s="80"/>
      <c r="T17" s="78"/>
      <c r="U17" s="78"/>
      <c r="V17" s="78"/>
      <c r="W17" s="78"/>
      <c r="X17" s="5"/>
      <c r="Y17" s="5"/>
    </row>
    <row r="18" spans="1:28" ht="15" x14ac:dyDescent="0.25">
      <c r="A18" s="44" t="s">
        <v>58</v>
      </c>
      <c r="B18" s="45"/>
      <c r="C18" s="46" t="str" cm="1">
        <f t="array" ref="C18">INDEX(Krácení,$Z$3,2)</f>
        <v>snížení o 1,5%</v>
      </c>
      <c r="D18" s="160"/>
      <c r="E18" s="84"/>
      <c r="F18" s="65">
        <f t="shared" si="1"/>
        <v>1996</v>
      </c>
      <c r="G18" s="164"/>
      <c r="H18" s="165"/>
      <c r="I18" s="68">
        <f t="shared" si="0"/>
        <v>5.0606</v>
      </c>
      <c r="J18" s="69">
        <f t="shared" si="2"/>
        <v>0</v>
      </c>
      <c r="K18" s="70">
        <v>9676</v>
      </c>
      <c r="L18" s="83">
        <v>1.1194</v>
      </c>
      <c r="M18" s="71">
        <v>5000</v>
      </c>
      <c r="N18" s="70">
        <v>10000</v>
      </c>
      <c r="O18" s="72"/>
      <c r="P18" s="86">
        <v>0.3</v>
      </c>
      <c r="Q18" s="86">
        <v>0.1</v>
      </c>
      <c r="R18" s="72"/>
      <c r="S18" s="72">
        <v>680</v>
      </c>
      <c r="T18" s="64"/>
      <c r="U18" s="64"/>
      <c r="V18" s="61"/>
      <c r="W18" s="64"/>
      <c r="X18" s="5" t="s">
        <v>82</v>
      </c>
      <c r="Y18" s="5"/>
    </row>
    <row r="19" spans="1:28" ht="15" x14ac:dyDescent="0.25">
      <c r="A19" s="201" t="str">
        <f>IF(AND(RP&gt;2025,D7&gt;44.999,D18&lt;&gt;"",D18&gt;0),X25,"")</f>
        <v/>
      </c>
      <c r="B19" s="202"/>
      <c r="C19" s="202"/>
      <c r="D19" s="33"/>
      <c r="E19" s="84"/>
      <c r="F19" s="65">
        <f t="shared" si="1"/>
        <v>1997</v>
      </c>
      <c r="G19" s="164"/>
      <c r="H19" s="165"/>
      <c r="I19" s="68">
        <f t="shared" si="0"/>
        <v>4.5780000000000003</v>
      </c>
      <c r="J19" s="69">
        <f t="shared" si="2"/>
        <v>0</v>
      </c>
      <c r="K19" s="70">
        <v>10696</v>
      </c>
      <c r="L19" s="83">
        <v>1.0891</v>
      </c>
      <c r="M19" s="71">
        <v>5600</v>
      </c>
      <c r="N19" s="70">
        <v>11200</v>
      </c>
      <c r="O19" s="72"/>
      <c r="P19" s="86">
        <v>0.3</v>
      </c>
      <c r="Q19" s="86">
        <v>0.1</v>
      </c>
      <c r="R19" s="72"/>
      <c r="S19" s="72">
        <v>1060</v>
      </c>
      <c r="T19" s="64"/>
      <c r="U19" s="64"/>
      <c r="V19" s="64"/>
      <c r="W19" s="64"/>
      <c r="X19" s="5" t="str">
        <f>"Pro důchody přiznané po roce "&amp;maxB&amp; " nejsou ještě známy potřebné statistické údaje o průměrné mzdě a proto je pro výpočet výše důchodu použit Vámi odhadovaný růst průměrné mzdy."</f>
        <v>Pro důchody přiznané po roce 2026 nejsou ještě známy potřebné statistické údaje o průměrné mzdě a proto je pro výpočet výše důchodu použit Vámi odhadovaný růst průměrné mzdy.</v>
      </c>
      <c r="Y19" s="5"/>
    </row>
    <row r="20" spans="1:28" ht="15" x14ac:dyDescent="0.25">
      <c r="A20" s="203"/>
      <c r="B20" s="202"/>
      <c r="C20" s="202"/>
      <c r="D20" s="33"/>
      <c r="E20" s="84"/>
      <c r="F20" s="65">
        <f t="shared" si="1"/>
        <v>1998</v>
      </c>
      <c r="G20" s="164"/>
      <c r="H20" s="165"/>
      <c r="I20" s="68">
        <f t="shared" si="0"/>
        <v>4.1877000000000004</v>
      </c>
      <c r="J20" s="69">
        <f t="shared" si="2"/>
        <v>0</v>
      </c>
      <c r="K20" s="70">
        <v>11693</v>
      </c>
      <c r="L20" s="83">
        <v>1.085</v>
      </c>
      <c r="M20" s="71">
        <v>5900</v>
      </c>
      <c r="N20" s="70">
        <v>11800</v>
      </c>
      <c r="O20" s="72"/>
      <c r="P20" s="86">
        <v>0.3</v>
      </c>
      <c r="Q20" s="86">
        <v>0.1</v>
      </c>
      <c r="R20" s="72"/>
      <c r="S20" s="72">
        <v>1260</v>
      </c>
      <c r="T20" s="64"/>
      <c r="U20" s="64"/>
      <c r="V20" s="64"/>
      <c r="W20" s="64"/>
      <c r="X20" s="5"/>
      <c r="Y20" s="5"/>
    </row>
    <row r="21" spans="1:28" ht="15" x14ac:dyDescent="0.25">
      <c r="A21" s="203"/>
      <c r="B21" s="202"/>
      <c r="C21" s="202"/>
      <c r="D21" s="33"/>
      <c r="E21" s="84"/>
      <c r="F21" s="65">
        <f t="shared" si="1"/>
        <v>1999</v>
      </c>
      <c r="G21" s="164"/>
      <c r="H21" s="165"/>
      <c r="I21" s="68">
        <f t="shared" si="0"/>
        <v>3.8694000000000002</v>
      </c>
      <c r="J21" s="69">
        <f t="shared" si="2"/>
        <v>0</v>
      </c>
      <c r="K21" s="70">
        <v>12655</v>
      </c>
      <c r="L21" s="83">
        <v>1.0620000000000001</v>
      </c>
      <c r="M21" s="71">
        <v>6100</v>
      </c>
      <c r="N21" s="70">
        <v>13000</v>
      </c>
      <c r="O21" s="72"/>
      <c r="P21" s="86">
        <v>0.3</v>
      </c>
      <c r="Q21" s="86">
        <v>0.1</v>
      </c>
      <c r="R21" s="72"/>
      <c r="S21" s="72">
        <v>1310</v>
      </c>
      <c r="T21" s="64"/>
      <c r="U21" s="64"/>
      <c r="V21" s="64"/>
      <c r="W21" s="64"/>
      <c r="X21" s="144" t="s">
        <v>84</v>
      </c>
      <c r="Y21" s="145"/>
      <c r="Z21" s="146"/>
      <c r="AA21" s="146"/>
      <c r="AB21" s="146"/>
    </row>
    <row r="22" spans="1:28" ht="15.75" thickBot="1" x14ac:dyDescent="0.3">
      <c r="A22" s="203"/>
      <c r="B22" s="202"/>
      <c r="C22" s="202"/>
      <c r="D22" s="186"/>
      <c r="E22" s="89"/>
      <c r="F22" s="74">
        <f t="shared" si="1"/>
        <v>2000</v>
      </c>
      <c r="G22" s="166"/>
      <c r="H22" s="167"/>
      <c r="I22" s="75">
        <f t="shared" si="0"/>
        <v>3.6299000000000001</v>
      </c>
      <c r="J22" s="76">
        <f t="shared" si="2"/>
        <v>0</v>
      </c>
      <c r="K22" s="77">
        <v>13490</v>
      </c>
      <c r="L22" s="85">
        <v>1.0942000000000001</v>
      </c>
      <c r="M22" s="79">
        <v>6300</v>
      </c>
      <c r="N22" s="77">
        <v>14200</v>
      </c>
      <c r="O22" s="80"/>
      <c r="P22" s="90">
        <v>0.3</v>
      </c>
      <c r="Q22" s="90">
        <v>0.1</v>
      </c>
      <c r="R22" s="80"/>
      <c r="S22" s="80">
        <v>1310</v>
      </c>
      <c r="T22" s="78"/>
      <c r="U22" s="64"/>
      <c r="V22" s="78"/>
      <c r="W22" s="64"/>
      <c r="X22" s="144" t="s">
        <v>86</v>
      </c>
      <c r="Y22" s="145"/>
      <c r="Z22" s="146"/>
      <c r="AA22" s="146"/>
      <c r="AB22" s="146"/>
    </row>
    <row r="23" spans="1:28" ht="15" x14ac:dyDescent="0.25">
      <c r="D23" s="33"/>
      <c r="E23" s="84"/>
      <c r="F23" s="65">
        <f t="shared" si="1"/>
        <v>2001</v>
      </c>
      <c r="G23" s="164"/>
      <c r="H23" s="165"/>
      <c r="I23" s="68">
        <f t="shared" si="0"/>
        <v>3.3447</v>
      </c>
      <c r="J23" s="69">
        <f t="shared" si="2"/>
        <v>0</v>
      </c>
      <c r="K23" s="70">
        <v>14640</v>
      </c>
      <c r="L23" s="83">
        <v>1.0692999999999999</v>
      </c>
      <c r="M23" s="71">
        <v>6600</v>
      </c>
      <c r="N23" s="70">
        <v>15300</v>
      </c>
      <c r="O23" s="72"/>
      <c r="P23" s="86">
        <v>0.3</v>
      </c>
      <c r="Q23" s="86">
        <v>0.1</v>
      </c>
      <c r="R23" s="72"/>
      <c r="S23" s="72">
        <v>1310</v>
      </c>
      <c r="T23" s="64"/>
      <c r="U23" s="61"/>
      <c r="V23" s="61"/>
      <c r="W23" s="61"/>
      <c r="X23" s="144" t="s">
        <v>85</v>
      </c>
      <c r="Y23" s="145"/>
      <c r="Z23" s="146"/>
      <c r="AA23" s="146"/>
      <c r="AB23" s="146"/>
    </row>
    <row r="24" spans="1:28" ht="15.75" thickBot="1" x14ac:dyDescent="0.3">
      <c r="A24" s="183" t="str">
        <f>IF(RP&gt;2022,"Počet vychovaných dětí pro nárok na výchovné","")</f>
        <v>Počet vychovaných dětí pro nárok na výchovné</v>
      </c>
      <c r="B24" s="93"/>
      <c r="C24" s="184"/>
      <c r="D24" s="185"/>
      <c r="E24" s="82"/>
      <c r="F24" s="65">
        <f t="shared" si="1"/>
        <v>2002</v>
      </c>
      <c r="G24" s="164"/>
      <c r="H24" s="165"/>
      <c r="I24" s="68">
        <f t="shared" si="0"/>
        <v>3.1166999999999998</v>
      </c>
      <c r="J24" s="69">
        <f t="shared" si="2"/>
        <v>0</v>
      </c>
      <c r="K24" s="70">
        <v>15711</v>
      </c>
      <c r="L24" s="83">
        <v>1.0717000000000001</v>
      </c>
      <c r="M24" s="71">
        <v>7100</v>
      </c>
      <c r="N24" s="70">
        <v>16800</v>
      </c>
      <c r="O24" s="72"/>
      <c r="P24" s="86">
        <v>0.3</v>
      </c>
      <c r="Q24" s="86">
        <v>0.1</v>
      </c>
      <c r="R24" s="72"/>
      <c r="S24" s="72">
        <v>1310</v>
      </c>
      <c r="T24" s="64"/>
      <c r="U24" s="64"/>
      <c r="V24" s="95"/>
      <c r="W24" s="64"/>
      <c r="X24" s="96"/>
      <c r="Y24" s="5"/>
    </row>
    <row r="25" spans="1:28" ht="15" x14ac:dyDescent="0.25">
      <c r="A25" s="87" t="s">
        <v>59</v>
      </c>
      <c r="B25" s="45"/>
      <c r="C25" s="45"/>
      <c r="D25" s="33"/>
      <c r="E25" s="19"/>
      <c r="F25" s="65">
        <f t="shared" si="1"/>
        <v>2003</v>
      </c>
      <c r="G25" s="164"/>
      <c r="H25" s="165"/>
      <c r="I25" s="68">
        <f t="shared" si="0"/>
        <v>2.9201000000000001</v>
      </c>
      <c r="J25" s="69">
        <f t="shared" si="2"/>
        <v>0</v>
      </c>
      <c r="K25" s="70">
        <v>16769</v>
      </c>
      <c r="L25" s="83">
        <v>1.0665</v>
      </c>
      <c r="M25" s="71">
        <v>7400</v>
      </c>
      <c r="N25" s="70">
        <v>17900</v>
      </c>
      <c r="O25" s="72"/>
      <c r="P25" s="86">
        <v>0.3</v>
      </c>
      <c r="Q25" s="86">
        <v>0.1</v>
      </c>
      <c r="R25" s="72"/>
      <c r="S25" s="72">
        <v>1310</v>
      </c>
      <c r="T25" s="64"/>
      <c r="U25" s="64"/>
      <c r="V25" s="95"/>
      <c r="W25" s="64"/>
      <c r="X25" s="96" t="s">
        <v>102</v>
      </c>
      <c r="Y25" s="5"/>
    </row>
    <row r="26" spans="1:28" ht="15" x14ac:dyDescent="0.25">
      <c r="A26" s="44" t="s">
        <v>60</v>
      </c>
      <c r="B26" s="45"/>
      <c r="C26" s="45"/>
      <c r="D26" s="88">
        <f>ROUND(D7,0)*IF(RP&lt;2026,0.015,0.01495)</f>
        <v>0</v>
      </c>
      <c r="E26" s="19"/>
      <c r="F26" s="65">
        <f t="shared" si="1"/>
        <v>2004</v>
      </c>
      <c r="G26" s="164"/>
      <c r="H26" s="165"/>
      <c r="I26" s="68">
        <f t="shared" si="0"/>
        <v>2.7383000000000002</v>
      </c>
      <c r="J26" s="69">
        <f t="shared" si="2"/>
        <v>0</v>
      </c>
      <c r="K26" s="70">
        <v>17882</v>
      </c>
      <c r="L26" s="83">
        <v>1.0531999999999999</v>
      </c>
      <c r="M26" s="71">
        <v>7500</v>
      </c>
      <c r="N26" s="70">
        <v>19200</v>
      </c>
      <c r="O26" s="72"/>
      <c r="P26" s="86">
        <v>0.3</v>
      </c>
      <c r="Q26" s="86">
        <v>0.1</v>
      </c>
      <c r="R26" s="72"/>
      <c r="S26" s="72">
        <v>1310</v>
      </c>
      <c r="T26" s="64"/>
      <c r="U26" s="64"/>
      <c r="V26" s="95"/>
      <c r="W26" s="64"/>
      <c r="X26" s="5"/>
      <c r="Y26" s="5"/>
    </row>
    <row r="27" spans="1:28" ht="16.5" thickBot="1" x14ac:dyDescent="0.3">
      <c r="A27" s="44" t="s">
        <v>61</v>
      </c>
      <c r="B27" s="45"/>
      <c r="C27" s="45"/>
      <c r="D27" s="150">
        <f>ROUND(D10,0)*0.01+ROUND(D11,0)*0.015+IF(RP&lt;2010,0,ROUND(D13,0)*0.015+ROUND(D15,0)*0.004)</f>
        <v>0</v>
      </c>
      <c r="E27" s="19"/>
      <c r="F27" s="74">
        <f t="shared" si="1"/>
        <v>2005</v>
      </c>
      <c r="G27" s="166"/>
      <c r="H27" s="167"/>
      <c r="I27" s="75">
        <f t="shared" si="0"/>
        <v>2.6034000000000002</v>
      </c>
      <c r="J27" s="76">
        <f t="shared" si="2"/>
        <v>0</v>
      </c>
      <c r="K27" s="77">
        <v>18809</v>
      </c>
      <c r="L27" s="85">
        <v>1.0707</v>
      </c>
      <c r="M27" s="79">
        <v>8400</v>
      </c>
      <c r="N27" s="77">
        <v>20500</v>
      </c>
      <c r="O27" s="80"/>
      <c r="P27" s="90">
        <v>0.3</v>
      </c>
      <c r="Q27" s="90">
        <v>0.1</v>
      </c>
      <c r="R27" s="80"/>
      <c r="S27" s="80">
        <v>1400</v>
      </c>
      <c r="T27" s="78"/>
      <c r="U27" s="78"/>
      <c r="V27" s="103"/>
      <c r="W27" s="78"/>
      <c r="X27" s="5"/>
      <c r="Y27" s="5"/>
      <c r="Z27" s="4" t="s">
        <v>100</v>
      </c>
    </row>
    <row r="28" spans="1:28" ht="15" x14ac:dyDescent="0.25">
      <c r="A28" s="44" t="s">
        <v>62</v>
      </c>
      <c r="B28" s="45"/>
      <c r="C28" s="91">
        <f>ROUND(D18,0)</f>
        <v>0</v>
      </c>
      <c r="D28" s="88" cm="1">
        <f t="array" ref="D28">-INDEX(Krácení,$Z$3,1)-IF(RP&gt;2006,0,ROUND(D22,0)*IF(RP&lt;2002,0.01,0.013))</f>
        <v>0</v>
      </c>
      <c r="E28" s="19"/>
      <c r="F28" s="57">
        <f t="shared" si="1"/>
        <v>2006</v>
      </c>
      <c r="G28" s="162"/>
      <c r="H28" s="163"/>
      <c r="I28" s="58">
        <f t="shared" si="0"/>
        <v>2.4422000000000001</v>
      </c>
      <c r="J28" s="59">
        <f t="shared" si="2"/>
        <v>0</v>
      </c>
      <c r="K28" s="60">
        <v>20050</v>
      </c>
      <c r="L28" s="105">
        <v>1.0752999999999999</v>
      </c>
      <c r="M28" s="62">
        <v>9100</v>
      </c>
      <c r="N28" s="60">
        <v>21800</v>
      </c>
      <c r="O28" s="63"/>
      <c r="P28" s="106">
        <v>0.3</v>
      </c>
      <c r="Q28" s="106">
        <v>0.1</v>
      </c>
      <c r="R28" s="63"/>
      <c r="S28" s="63">
        <v>1470</v>
      </c>
      <c r="T28" s="61"/>
      <c r="U28" s="61"/>
      <c r="V28" s="29"/>
      <c r="W28" s="61"/>
      <c r="X28" s="5"/>
      <c r="Y28" s="5"/>
      <c r="Z28" s="4" t="s">
        <v>101</v>
      </c>
    </row>
    <row r="29" spans="1:28" ht="15.75" thickBot="1" x14ac:dyDescent="0.3">
      <c r="A29" s="92"/>
      <c r="B29" s="93"/>
      <c r="C29" s="93" t="s">
        <v>63</v>
      </c>
      <c r="D29" s="94">
        <f>SUM(D26:D28)</f>
        <v>0</v>
      </c>
      <c r="E29" s="19"/>
      <c r="F29" s="65">
        <f t="shared" si="1"/>
        <v>2007</v>
      </c>
      <c r="G29" s="164"/>
      <c r="H29" s="165"/>
      <c r="I29" s="68">
        <f t="shared" si="0"/>
        <v>2.2747000000000002</v>
      </c>
      <c r="J29" s="69">
        <f t="shared" si="2"/>
        <v>0</v>
      </c>
      <c r="K29" s="70">
        <v>21527</v>
      </c>
      <c r="L29" s="83">
        <v>1.0942000000000001</v>
      </c>
      <c r="M29" s="107">
        <v>9600</v>
      </c>
      <c r="N29" s="108">
        <v>23300</v>
      </c>
      <c r="O29" s="109"/>
      <c r="P29" s="110">
        <v>0.3</v>
      </c>
      <c r="Q29" s="110">
        <v>0.1</v>
      </c>
      <c r="R29" s="109"/>
      <c r="S29" s="109">
        <v>1570</v>
      </c>
      <c r="T29" s="111"/>
      <c r="U29" s="111"/>
      <c r="V29" s="43"/>
      <c r="W29" s="111"/>
      <c r="X29" s="5"/>
      <c r="Y29" s="5"/>
    </row>
    <row r="30" spans="1:28" ht="15" x14ac:dyDescent="0.25">
      <c r="A30" s="97" t="str">
        <f>" Stanovení výpočtového základu v roce "&amp;RP</f>
        <v xml:space="preserve"> Stanovení výpočtového základu v roce 2026</v>
      </c>
      <c r="B30" s="17"/>
      <c r="C30" s="17"/>
      <c r="D30" s="98"/>
      <c r="E30" s="19"/>
      <c r="F30" s="65">
        <f t="shared" si="1"/>
        <v>2008</v>
      </c>
      <c r="G30" s="164"/>
      <c r="H30" s="165"/>
      <c r="I30" s="68">
        <f t="shared" si="0"/>
        <v>2.1034000000000002</v>
      </c>
      <c r="J30" s="69">
        <f t="shared" ref="J30:J46" si="3">IF(G30&gt;0,CEILING(MIN($G30,U30)*I30,1),0)</f>
        <v>0</v>
      </c>
      <c r="K30" s="70">
        <v>23280</v>
      </c>
      <c r="L30" s="83">
        <v>1.0184</v>
      </c>
      <c r="M30" s="107">
        <v>10000</v>
      </c>
      <c r="N30" s="108">
        <v>24800</v>
      </c>
      <c r="O30" s="109"/>
      <c r="P30" s="110">
        <v>0.3</v>
      </c>
      <c r="Q30" s="110">
        <v>0.1</v>
      </c>
      <c r="R30" s="109"/>
      <c r="S30" s="109">
        <v>2170</v>
      </c>
      <c r="T30" s="111">
        <f>CEILING(K28*L28,1)</f>
        <v>21560</v>
      </c>
      <c r="U30" s="111">
        <f t="shared" ref="U30:U44" si="4">T30*V30*12</f>
        <v>1034880</v>
      </c>
      <c r="V30" s="43">
        <v>4</v>
      </c>
      <c r="W30" s="111"/>
      <c r="X30" s="5"/>
      <c r="Y30" s="5"/>
    </row>
    <row r="31" spans="1:28" ht="15" x14ac:dyDescent="0.25">
      <c r="A31" s="44" t="s">
        <v>64</v>
      </c>
      <c r="B31" s="45"/>
      <c r="C31" s="99" t="s">
        <v>65</v>
      </c>
      <c r="D31" s="100">
        <f>RP-1</f>
        <v>2025</v>
      </c>
      <c r="E31" s="19"/>
      <c r="F31" s="65">
        <f t="shared" si="1"/>
        <v>2009</v>
      </c>
      <c r="G31" s="164"/>
      <c r="H31" s="165"/>
      <c r="I31" s="68">
        <f t="shared" si="0"/>
        <v>2.0326</v>
      </c>
      <c r="J31" s="69">
        <f t="shared" si="3"/>
        <v>0</v>
      </c>
      <c r="K31" s="70">
        <v>24091</v>
      </c>
      <c r="L31" s="83">
        <v>1.0268999999999999</v>
      </c>
      <c r="M31" s="107">
        <v>10500</v>
      </c>
      <c r="N31" s="108">
        <v>27000</v>
      </c>
      <c r="O31" s="109"/>
      <c r="P31" s="110">
        <v>0.3</v>
      </c>
      <c r="Q31" s="110">
        <v>0.1</v>
      </c>
      <c r="R31" s="109"/>
      <c r="S31" s="109">
        <v>2170</v>
      </c>
      <c r="T31" s="111">
        <f t="shared" ref="T31:T37" si="5">MAX(CEILING(K29*L29,1),T30)</f>
        <v>23555</v>
      </c>
      <c r="U31" s="111">
        <f t="shared" si="4"/>
        <v>1130640</v>
      </c>
      <c r="V31" s="43">
        <v>4</v>
      </c>
      <c r="W31" s="111"/>
      <c r="X31" s="5"/>
      <c r="Y31" s="5"/>
    </row>
    <row r="32" spans="1:28" ht="15.75" thickBot="1" x14ac:dyDescent="0.3">
      <c r="A32" s="31" t="s">
        <v>66</v>
      </c>
      <c r="B32" s="101"/>
      <c r="C32" s="101"/>
      <c r="D32" s="102">
        <f ca="1">SUM(OFFSET(J8,0,0,D35))</f>
        <v>0</v>
      </c>
      <c r="E32" s="19"/>
      <c r="F32" s="74">
        <f t="shared" si="1"/>
        <v>2010</v>
      </c>
      <c r="G32" s="166"/>
      <c r="H32" s="167"/>
      <c r="I32" s="75">
        <f t="shared" si="0"/>
        <v>1.9964999999999999</v>
      </c>
      <c r="J32" s="76">
        <f t="shared" si="3"/>
        <v>0</v>
      </c>
      <c r="K32" s="77">
        <v>24526</v>
      </c>
      <c r="L32" s="85">
        <v>1.0248999999999999</v>
      </c>
      <c r="M32" s="113">
        <v>10500</v>
      </c>
      <c r="N32" s="114">
        <v>27000</v>
      </c>
      <c r="O32" s="115"/>
      <c r="P32" s="116">
        <v>0.3</v>
      </c>
      <c r="Q32" s="116">
        <v>0.1</v>
      </c>
      <c r="R32" s="115"/>
      <c r="S32" s="115">
        <v>2170</v>
      </c>
      <c r="T32" s="117">
        <f t="shared" si="5"/>
        <v>23709</v>
      </c>
      <c r="U32" s="117">
        <f t="shared" si="4"/>
        <v>1707048</v>
      </c>
      <c r="V32" s="118">
        <v>6</v>
      </c>
      <c r="W32" s="117"/>
      <c r="X32" s="5"/>
      <c r="Y32" s="5"/>
    </row>
    <row r="33" spans="1:25" ht="15" x14ac:dyDescent="0.25">
      <c r="A33" s="31" t="s">
        <v>67</v>
      </c>
      <c r="B33" s="104" t="s">
        <v>68</v>
      </c>
      <c r="C33" s="45">
        <f>DATE(D31,12,31)-DATE(1986,1,1)+1</f>
        <v>14610</v>
      </c>
      <c r="D33" s="33"/>
      <c r="E33" s="19"/>
      <c r="F33" s="57">
        <f t="shared" si="1"/>
        <v>2011</v>
      </c>
      <c r="G33" s="164"/>
      <c r="H33" s="165"/>
      <c r="I33" s="58">
        <f t="shared" si="0"/>
        <v>1.9514</v>
      </c>
      <c r="J33" s="59">
        <f t="shared" si="3"/>
        <v>0</v>
      </c>
      <c r="K33" s="121">
        <v>25093</v>
      </c>
      <c r="L33" s="122">
        <v>1.0315000000000001</v>
      </c>
      <c r="M33" s="121">
        <f>IF(US=1,CEILING($T33*0.44,1),11000)</f>
        <v>10886</v>
      </c>
      <c r="N33" s="121">
        <f>IF(US=1,CEILING($T33*1.16,1),28200)</f>
        <v>28699</v>
      </c>
      <c r="O33" s="123">
        <f>IF(US=1,CEILING($T33*4,1),0)</f>
        <v>98960</v>
      </c>
      <c r="P33" s="124">
        <f>IF(US=1,0.29,0.3)</f>
        <v>0.28999999999999998</v>
      </c>
      <c r="Q33" s="124">
        <f>IF(US=1,0.13,0.1)</f>
        <v>0.13</v>
      </c>
      <c r="R33" s="125">
        <f>IF(US=1,0.1,0)</f>
        <v>0.1</v>
      </c>
      <c r="S33" s="123">
        <v>2230</v>
      </c>
      <c r="T33" s="126">
        <f t="shared" si="5"/>
        <v>24740</v>
      </c>
      <c r="U33" s="126">
        <f t="shared" si="4"/>
        <v>1781280</v>
      </c>
      <c r="V33" s="29">
        <v>6</v>
      </c>
      <c r="W33" s="126"/>
      <c r="X33" s="5"/>
      <c r="Y33" s="5"/>
    </row>
    <row r="34" spans="1:25" ht="15" x14ac:dyDescent="0.25">
      <c r="A34" s="31"/>
      <c r="B34" s="104" t="s">
        <v>69</v>
      </c>
      <c r="C34" s="45">
        <f ca="1">SUM(OFFSET(H8,0,0,D35))</f>
        <v>0</v>
      </c>
      <c r="D34" s="33"/>
      <c r="E34" s="19"/>
      <c r="F34" s="65">
        <f t="shared" si="1"/>
        <v>2012</v>
      </c>
      <c r="G34" s="164"/>
      <c r="H34" s="165"/>
      <c r="I34" s="68">
        <f t="shared" si="0"/>
        <v>1.8904000000000001</v>
      </c>
      <c r="J34" s="69">
        <f t="shared" si="3"/>
        <v>0</v>
      </c>
      <c r="K34" s="70">
        <v>25903</v>
      </c>
      <c r="L34" s="83">
        <v>1.0015000000000001</v>
      </c>
      <c r="M34" s="108">
        <v>11061</v>
      </c>
      <c r="N34" s="108">
        <v>29159</v>
      </c>
      <c r="O34" s="109">
        <v>100548</v>
      </c>
      <c r="P34" s="110">
        <v>0.28000000000000003</v>
      </c>
      <c r="Q34" s="110">
        <v>0.16</v>
      </c>
      <c r="R34" s="127">
        <v>0.08</v>
      </c>
      <c r="S34" s="109">
        <f t="shared" ref="S34:S40" si="6">CEILING($T34*0.09,10)</f>
        <v>2270</v>
      </c>
      <c r="T34" s="111">
        <f t="shared" si="5"/>
        <v>25137</v>
      </c>
      <c r="U34" s="111">
        <f t="shared" si="4"/>
        <v>1206576</v>
      </c>
      <c r="V34" s="43">
        <v>4</v>
      </c>
      <c r="W34" s="111"/>
      <c r="X34" s="5"/>
      <c r="Y34" s="5"/>
    </row>
    <row r="35" spans="1:25" ht="15" x14ac:dyDescent="0.25">
      <c r="A35" s="31" t="s">
        <v>70</v>
      </c>
      <c r="B35" s="101"/>
      <c r="C35" s="45">
        <f ca="1">CEILING(D32*30.4167/(C33-C34),1)</f>
        <v>0</v>
      </c>
      <c r="D35" s="112">
        <f>D31-1985</f>
        <v>40</v>
      </c>
      <c r="E35" s="19"/>
      <c r="F35" s="65">
        <f t="shared" si="1"/>
        <v>2013</v>
      </c>
      <c r="G35" s="164"/>
      <c r="H35" s="165"/>
      <c r="I35" s="68">
        <f t="shared" si="0"/>
        <v>1.8904000000000001</v>
      </c>
      <c r="J35" s="69">
        <f t="shared" si="3"/>
        <v>0</v>
      </c>
      <c r="K35" s="70">
        <v>25903</v>
      </c>
      <c r="L35" s="83">
        <v>1.0273000000000001</v>
      </c>
      <c r="M35" s="108">
        <f t="shared" ref="M35:M50" si="7">CEILING($T35*0.44,1)</f>
        <v>11389</v>
      </c>
      <c r="N35" s="108">
        <f>CEILING($T35*1.16,1)</f>
        <v>30026</v>
      </c>
      <c r="O35" s="109">
        <f>CEILING($T35*4,1)</f>
        <v>103536</v>
      </c>
      <c r="P35" s="110">
        <v>0.27</v>
      </c>
      <c r="Q35" s="110">
        <v>0.19</v>
      </c>
      <c r="R35" s="127">
        <v>0.06</v>
      </c>
      <c r="S35" s="109">
        <f t="shared" si="6"/>
        <v>2330</v>
      </c>
      <c r="T35" s="111">
        <f t="shared" si="5"/>
        <v>25884</v>
      </c>
      <c r="U35" s="111">
        <f t="shared" si="4"/>
        <v>1242432</v>
      </c>
      <c r="V35" s="43">
        <v>4</v>
      </c>
      <c r="W35" s="111"/>
      <c r="X35" s="5"/>
      <c r="Y35" s="5"/>
    </row>
    <row r="36" spans="1:25" ht="15" x14ac:dyDescent="0.25">
      <c r="A36" s="31" t="s">
        <v>71</v>
      </c>
      <c r="B36" s="101"/>
      <c r="C36" s="154" t="str">
        <f>TEXT(M52,"## ###")&amp;" ; "&amp;TEXT(N52,"## ###")&amp;IF(O52&gt;0," ; "&amp;TEXT(O52,"## ###"),"")</f>
        <v>21 546 ; 195 868</v>
      </c>
      <c r="D36" s="155"/>
      <c r="E36" s="19"/>
      <c r="F36" s="65">
        <f t="shared" si="1"/>
        <v>2014</v>
      </c>
      <c r="G36" s="164"/>
      <c r="H36" s="165"/>
      <c r="I36" s="68">
        <f t="shared" si="0"/>
        <v>1.8577999999999999</v>
      </c>
      <c r="J36" s="69">
        <f t="shared" si="3"/>
        <v>0</v>
      </c>
      <c r="K36" s="70">
        <v>26357</v>
      </c>
      <c r="L36" s="83">
        <v>1.0246</v>
      </c>
      <c r="M36" s="108">
        <f t="shared" si="7"/>
        <v>11415</v>
      </c>
      <c r="N36" s="108">
        <f>CEILING($T36*1.16,1)</f>
        <v>30093</v>
      </c>
      <c r="O36" s="109">
        <f>CEILING($T36*4,1)</f>
        <v>103768</v>
      </c>
      <c r="P36" s="110">
        <v>0.26</v>
      </c>
      <c r="Q36" s="110">
        <v>0.22</v>
      </c>
      <c r="R36" s="127">
        <v>0.03</v>
      </c>
      <c r="S36" s="109">
        <f t="shared" si="6"/>
        <v>2340</v>
      </c>
      <c r="T36" s="111">
        <f t="shared" si="5"/>
        <v>25942</v>
      </c>
      <c r="U36" s="111">
        <f t="shared" si="4"/>
        <v>1245216</v>
      </c>
      <c r="V36" s="43">
        <v>4</v>
      </c>
      <c r="W36" s="111"/>
      <c r="X36" s="5"/>
      <c r="Y36" s="5"/>
    </row>
    <row r="37" spans="1:25" ht="15.75" thickBot="1" x14ac:dyDescent="0.3">
      <c r="A37" s="31"/>
      <c r="B37" s="104" t="s">
        <v>72</v>
      </c>
      <c r="C37" s="154" t="str">
        <f>IF(RP&lt;2026,"100% ; ","99% ; ") &amp;TEXT(P52,"##%")&amp;IF(Q52&gt;0," ; "&amp;TEXT(Q52,"##%"),"")&amp;IF(R52&gt;0," ; "&amp;TEXT(R52,"##%"),"")</f>
        <v>99% ; 26%</v>
      </c>
      <c r="D37" s="155"/>
      <c r="E37" s="19"/>
      <c r="F37" s="74">
        <f t="shared" si="1"/>
        <v>2015</v>
      </c>
      <c r="G37" s="166"/>
      <c r="H37" s="167"/>
      <c r="I37" s="75">
        <f t="shared" si="0"/>
        <v>1.8031999999999999</v>
      </c>
      <c r="J37" s="76">
        <f t="shared" si="3"/>
        <v>0</v>
      </c>
      <c r="K37" s="108">
        <v>27156</v>
      </c>
      <c r="L37" s="142">
        <v>1.0396000000000001</v>
      </c>
      <c r="M37" s="114">
        <f t="shared" si="7"/>
        <v>11709</v>
      </c>
      <c r="N37" s="114">
        <f t="shared" ref="N37:N50" si="8">CEILING($T37*4,1)</f>
        <v>106444</v>
      </c>
      <c r="O37" s="115"/>
      <c r="P37" s="116">
        <v>0.26</v>
      </c>
      <c r="Q37" s="116">
        <v>0</v>
      </c>
      <c r="R37" s="130">
        <v>0</v>
      </c>
      <c r="S37" s="115">
        <f t="shared" si="6"/>
        <v>2400</v>
      </c>
      <c r="T37" s="117">
        <f t="shared" si="5"/>
        <v>26611</v>
      </c>
      <c r="U37" s="117">
        <f t="shared" si="4"/>
        <v>1277328</v>
      </c>
      <c r="V37" s="118">
        <v>4</v>
      </c>
      <c r="W37" s="117"/>
      <c r="X37" s="5"/>
      <c r="Y37" s="5"/>
    </row>
    <row r="38" spans="1:25" ht="15.75" thickBot="1" x14ac:dyDescent="0.3">
      <c r="A38" s="119"/>
      <c r="B38" s="120" t="s">
        <v>73</v>
      </c>
      <c r="C38" s="153">
        <f ca="1">CEILING(S52+T52,1)</f>
        <v>0</v>
      </c>
      <c r="D38" s="158"/>
      <c r="E38" s="19"/>
      <c r="F38" s="65">
        <f t="shared" si="1"/>
        <v>2016</v>
      </c>
      <c r="G38" s="164"/>
      <c r="H38" s="165"/>
      <c r="I38" s="68">
        <f t="shared" si="0"/>
        <v>1.7333000000000001</v>
      </c>
      <c r="J38" s="69">
        <f t="shared" si="3"/>
        <v>0</v>
      </c>
      <c r="K38" s="121">
        <v>28250</v>
      </c>
      <c r="L38" s="122">
        <v>1.0611999999999999</v>
      </c>
      <c r="M38" s="121">
        <f t="shared" si="7"/>
        <v>11883</v>
      </c>
      <c r="N38" s="121">
        <f t="shared" si="8"/>
        <v>108024</v>
      </c>
      <c r="O38" s="123"/>
      <c r="P38" s="124">
        <v>0.26</v>
      </c>
      <c r="Q38" s="124"/>
      <c r="R38" s="123"/>
      <c r="S38" s="123">
        <f t="shared" si="6"/>
        <v>2440</v>
      </c>
      <c r="T38" s="126">
        <f t="shared" ref="T38:T44" si="9">MAX(CEILING(K36*L36,1),T37)</f>
        <v>27006</v>
      </c>
      <c r="U38" s="126">
        <f t="shared" si="4"/>
        <v>1296288</v>
      </c>
      <c r="V38" s="29">
        <v>4</v>
      </c>
      <c r="W38" s="126"/>
      <c r="X38" s="5"/>
      <c r="Y38" s="5"/>
    </row>
    <row r="39" spans="1:25" ht="15" customHeight="1" x14ac:dyDescent="0.25">
      <c r="A39" s="168" t="s">
        <v>74</v>
      </c>
      <c r="B39" s="169"/>
      <c r="C39" s="170" t="str">
        <f>IF(RP&gt;maxB,"podle odhadu růstu mezd","")</f>
        <v/>
      </c>
      <c r="D39" s="171"/>
      <c r="E39" s="19"/>
      <c r="F39" s="65">
        <f t="shared" si="1"/>
        <v>2017</v>
      </c>
      <c r="G39" s="164"/>
      <c r="H39" s="165"/>
      <c r="I39" s="68">
        <f t="shared" si="0"/>
        <v>1.6237999999999999</v>
      </c>
      <c r="J39" s="69">
        <f t="shared" si="3"/>
        <v>0</v>
      </c>
      <c r="K39" s="108">
        <v>30156</v>
      </c>
      <c r="L39" s="142">
        <v>1.0843</v>
      </c>
      <c r="M39" s="108">
        <f t="shared" si="7"/>
        <v>12423</v>
      </c>
      <c r="N39" s="108">
        <f t="shared" si="8"/>
        <v>112928</v>
      </c>
      <c r="O39" s="109"/>
      <c r="P39" s="110">
        <v>0.26</v>
      </c>
      <c r="Q39" s="110"/>
      <c r="R39" s="109"/>
      <c r="S39" s="109">
        <f t="shared" si="6"/>
        <v>2550</v>
      </c>
      <c r="T39" s="111">
        <f t="shared" si="9"/>
        <v>28232</v>
      </c>
      <c r="U39" s="111">
        <f t="shared" si="4"/>
        <v>1355136</v>
      </c>
      <c r="V39" s="43">
        <v>4</v>
      </c>
      <c r="W39" s="111"/>
      <c r="X39" s="5"/>
      <c r="Y39" s="5"/>
    </row>
    <row r="40" spans="1:25" ht="14.25" customHeight="1" x14ac:dyDescent="0.25">
      <c r="A40" s="172"/>
      <c r="B40" s="173" t="s">
        <v>75</v>
      </c>
      <c r="C40" s="173"/>
      <c r="D40" s="174">
        <f>VLOOKUP(RP,MTC,14)</f>
        <v>4900</v>
      </c>
      <c r="E40" s="19"/>
      <c r="F40" s="65">
        <f t="shared" si="1"/>
        <v>2018</v>
      </c>
      <c r="G40" s="164"/>
      <c r="H40" s="165"/>
      <c r="I40" s="68">
        <f t="shared" si="0"/>
        <v>1.5062</v>
      </c>
      <c r="J40" s="69">
        <f t="shared" si="3"/>
        <v>0</v>
      </c>
      <c r="K40" s="108">
        <v>32510</v>
      </c>
      <c r="L40" s="142">
        <v>1.0714999999999999</v>
      </c>
      <c r="M40" s="108">
        <f t="shared" si="7"/>
        <v>13191</v>
      </c>
      <c r="N40" s="108">
        <f t="shared" si="8"/>
        <v>119916</v>
      </c>
      <c r="O40" s="109"/>
      <c r="P40" s="110">
        <v>0.26</v>
      </c>
      <c r="Q40" s="110"/>
      <c r="R40" s="109"/>
      <c r="S40" s="109">
        <f t="shared" si="6"/>
        <v>2700</v>
      </c>
      <c r="T40" s="111">
        <f t="shared" si="9"/>
        <v>29979</v>
      </c>
      <c r="U40" s="111">
        <f t="shared" si="4"/>
        <v>1438992</v>
      </c>
      <c r="V40" s="43">
        <v>4</v>
      </c>
      <c r="W40" s="111"/>
      <c r="X40" s="5"/>
      <c r="Y40" s="5"/>
    </row>
    <row r="41" spans="1:25" ht="15" x14ac:dyDescent="0.25">
      <c r="A41" s="172"/>
      <c r="B41" s="173" t="s">
        <v>76</v>
      </c>
      <c r="C41" s="173"/>
      <c r="D41" s="174">
        <f ca="1">MAX(IF(RP&gt;2025,$D$40,770),CEILING(C38*D26,1)+CEILING(C38*D27,1)-FLOOR(-C38*D28,1)+IF(RP&gt;2022,D24*VLOOKUP(RP,MTC,18),0))</f>
        <v>4900</v>
      </c>
      <c r="E41" s="19"/>
      <c r="F41" s="65">
        <f t="shared" si="1"/>
        <v>2019</v>
      </c>
      <c r="G41" s="164"/>
      <c r="H41" s="165"/>
      <c r="I41" s="68">
        <f t="shared" si="0"/>
        <v>1.4085000000000001</v>
      </c>
      <c r="J41" s="69">
        <f t="shared" si="3"/>
        <v>0</v>
      </c>
      <c r="K41" s="108">
        <v>34766</v>
      </c>
      <c r="L41" s="142">
        <v>1.0194000000000001</v>
      </c>
      <c r="M41" s="108">
        <f t="shared" si="7"/>
        <v>14388</v>
      </c>
      <c r="N41" s="108">
        <f t="shared" si="8"/>
        <v>130796</v>
      </c>
      <c r="O41" s="109"/>
      <c r="P41" s="110">
        <v>0.26</v>
      </c>
      <c r="Q41" s="110"/>
      <c r="R41" s="109"/>
      <c r="S41" s="109">
        <f>CEILING($T41*0.1,10)</f>
        <v>3270</v>
      </c>
      <c r="T41" s="111">
        <f t="shared" si="9"/>
        <v>32699</v>
      </c>
      <c r="U41" s="111">
        <f t="shared" si="4"/>
        <v>1569552</v>
      </c>
      <c r="V41" s="43">
        <v>4</v>
      </c>
      <c r="W41" s="111"/>
      <c r="X41" s="5"/>
      <c r="Y41" s="5"/>
    </row>
    <row r="42" spans="1:25" ht="15" customHeight="1" thickBot="1" x14ac:dyDescent="0.3">
      <c r="A42" s="175"/>
      <c r="B42" s="176" t="s">
        <v>77</v>
      </c>
      <c r="C42" s="176"/>
      <c r="D42" s="177">
        <f ca="1">D41+D40</f>
        <v>9800</v>
      </c>
      <c r="E42" s="19"/>
      <c r="F42" s="74">
        <f t="shared" si="1"/>
        <v>2020</v>
      </c>
      <c r="G42" s="166"/>
      <c r="H42" s="167"/>
      <c r="I42" s="75">
        <f t="shared" si="0"/>
        <v>1.3556999999999999</v>
      </c>
      <c r="J42" s="76">
        <f t="shared" si="3"/>
        <v>0</v>
      </c>
      <c r="K42" s="114">
        <v>36119</v>
      </c>
      <c r="L42" s="148">
        <v>1.0772999999999999</v>
      </c>
      <c r="M42" s="114">
        <f t="shared" si="7"/>
        <v>15328</v>
      </c>
      <c r="N42" s="114">
        <f t="shared" si="8"/>
        <v>139340</v>
      </c>
      <c r="O42" s="115"/>
      <c r="P42" s="116">
        <v>0.26</v>
      </c>
      <c r="Q42" s="116"/>
      <c r="R42" s="115"/>
      <c r="S42" s="115">
        <f t="shared" ref="S42:S50" si="10">CEILING($T42*0.1,10)</f>
        <v>3490</v>
      </c>
      <c r="T42" s="117">
        <f t="shared" si="9"/>
        <v>34835</v>
      </c>
      <c r="U42" s="117">
        <f t="shared" si="4"/>
        <v>1672080</v>
      </c>
      <c r="V42" s="118">
        <v>4</v>
      </c>
      <c r="W42" s="117"/>
      <c r="X42" s="5"/>
      <c r="Y42" s="5"/>
    </row>
    <row r="43" spans="1:25" ht="15" x14ac:dyDescent="0.25">
      <c r="A43" s="152" t="str">
        <f ca="1">IF(RP&lt;2002,OFFSET($X$9,RP-1995,0),"")</f>
        <v/>
      </c>
      <c r="B43" s="152"/>
      <c r="C43" s="152"/>
      <c r="D43" s="152"/>
      <c r="E43" s="19"/>
      <c r="F43" s="65">
        <f t="shared" si="1"/>
        <v>2021</v>
      </c>
      <c r="G43" s="164"/>
      <c r="H43" s="165"/>
      <c r="I43" s="68">
        <f t="shared" si="0"/>
        <v>1.2786999999999999</v>
      </c>
      <c r="J43" s="69">
        <f t="shared" si="3"/>
        <v>0</v>
      </c>
      <c r="K43" s="108">
        <v>38294</v>
      </c>
      <c r="L43" s="142">
        <v>1.0529999999999999</v>
      </c>
      <c r="M43" s="108">
        <f t="shared" si="7"/>
        <v>15595</v>
      </c>
      <c r="N43" s="108">
        <f t="shared" si="8"/>
        <v>141764</v>
      </c>
      <c r="O43" s="109"/>
      <c r="P43" s="110">
        <v>0.26</v>
      </c>
      <c r="Q43" s="110"/>
      <c r="R43" s="109"/>
      <c r="S43" s="109">
        <f t="shared" si="10"/>
        <v>3550</v>
      </c>
      <c r="T43" s="111">
        <f t="shared" si="9"/>
        <v>35441</v>
      </c>
      <c r="U43" s="111">
        <f t="shared" si="4"/>
        <v>1701168</v>
      </c>
      <c r="V43" s="43">
        <v>4</v>
      </c>
      <c r="W43" s="111"/>
      <c r="X43" s="5"/>
      <c r="Y43" s="5"/>
    </row>
    <row r="44" spans="1:25" ht="15" x14ac:dyDescent="0.25">
      <c r="A44" s="152"/>
      <c r="B44" s="152"/>
      <c r="C44" s="152"/>
      <c r="D44" s="152"/>
      <c r="E44" s="19"/>
      <c r="F44" s="65">
        <f t="shared" si="1"/>
        <v>2022</v>
      </c>
      <c r="G44" s="164"/>
      <c r="H44" s="165"/>
      <c r="I44" s="68">
        <f t="shared" si="0"/>
        <v>1.2049000000000001</v>
      </c>
      <c r="J44" s="69">
        <f t="shared" si="3"/>
        <v>0</v>
      </c>
      <c r="K44" s="108">
        <v>40638</v>
      </c>
      <c r="L44" s="142">
        <v>1.0819000000000001</v>
      </c>
      <c r="M44" s="108">
        <f t="shared" si="7"/>
        <v>17121</v>
      </c>
      <c r="N44" s="109">
        <f t="shared" si="8"/>
        <v>155644</v>
      </c>
      <c r="O44" s="110"/>
      <c r="P44" s="110">
        <v>0.26</v>
      </c>
      <c r="Q44" s="109"/>
      <c r="R44" s="109"/>
      <c r="S44" s="111">
        <f t="shared" si="10"/>
        <v>3900</v>
      </c>
      <c r="T44" s="111">
        <f t="shared" si="9"/>
        <v>38911</v>
      </c>
      <c r="U44" s="111">
        <f t="shared" si="4"/>
        <v>1867728</v>
      </c>
      <c r="V44" s="43">
        <v>4</v>
      </c>
      <c r="W44" s="111"/>
      <c r="X44" s="5"/>
      <c r="Y44" s="5"/>
    </row>
    <row r="45" spans="1:25" ht="15" customHeight="1" x14ac:dyDescent="0.25">
      <c r="A45" s="181" t="str">
        <f>IF(RP&gt;maxB,X19,"")</f>
        <v/>
      </c>
      <c r="B45" s="182"/>
      <c r="C45" s="182"/>
      <c r="D45" s="182"/>
      <c r="E45" s="19"/>
      <c r="F45" s="65">
        <f t="shared" si="1"/>
        <v>2023</v>
      </c>
      <c r="G45" s="164"/>
      <c r="H45" s="165"/>
      <c r="I45" s="68">
        <f t="shared" si="0"/>
        <v>1.121</v>
      </c>
      <c r="J45" s="69">
        <f t="shared" si="3"/>
        <v>0</v>
      </c>
      <c r="K45" s="179">
        <v>43682</v>
      </c>
      <c r="L45" s="180">
        <v>1.0658000000000001</v>
      </c>
      <c r="M45" s="108">
        <f t="shared" si="7"/>
        <v>17743</v>
      </c>
      <c r="N45" s="109">
        <f t="shared" si="8"/>
        <v>161296</v>
      </c>
      <c r="O45" s="110"/>
      <c r="P45" s="110">
        <v>0.26</v>
      </c>
      <c r="Q45" s="109"/>
      <c r="R45" s="109"/>
      <c r="S45" s="111">
        <f t="shared" si="10"/>
        <v>4040</v>
      </c>
      <c r="T45" s="111">
        <f t="shared" ref="T45" si="11">MAX(CEILING(K43*L43,1),T44)</f>
        <v>40324</v>
      </c>
      <c r="U45" s="111">
        <f t="shared" ref="U45" si="12">T45*V45*12</f>
        <v>1935552</v>
      </c>
      <c r="V45" s="43">
        <v>4</v>
      </c>
      <c r="W45" s="111">
        <v>500</v>
      </c>
      <c r="X45" s="5"/>
      <c r="Y45" s="5"/>
    </row>
    <row r="46" spans="1:25" ht="15.75" customHeight="1" x14ac:dyDescent="0.25">
      <c r="A46" s="182"/>
      <c r="B46" s="182"/>
      <c r="C46" s="182"/>
      <c r="D46" s="182"/>
      <c r="E46" s="19"/>
      <c r="F46" s="65">
        <f t="shared" si="1"/>
        <v>2024</v>
      </c>
      <c r="G46" s="164"/>
      <c r="H46" s="165"/>
      <c r="I46" s="68">
        <f t="shared" si="0"/>
        <v>1.0581</v>
      </c>
      <c r="J46" s="69">
        <f t="shared" si="3"/>
        <v>0</v>
      </c>
      <c r="K46" s="179">
        <v>46278</v>
      </c>
      <c r="L46" s="180">
        <v>1.0581</v>
      </c>
      <c r="M46" s="108">
        <f t="shared" si="7"/>
        <v>19346</v>
      </c>
      <c r="N46" s="109">
        <f t="shared" si="8"/>
        <v>175868</v>
      </c>
      <c r="O46" s="110"/>
      <c r="P46" s="110">
        <v>0.26</v>
      </c>
      <c r="Q46" s="109"/>
      <c r="R46" s="109"/>
      <c r="S46" s="111">
        <f t="shared" si="10"/>
        <v>4400</v>
      </c>
      <c r="T46" s="111">
        <f t="shared" ref="T46" si="13">MAX(CEILING(K44*L44,1),T45)</f>
        <v>43967</v>
      </c>
      <c r="U46" s="111">
        <f t="shared" ref="U46" si="14">T46*V46*12</f>
        <v>2110416</v>
      </c>
      <c r="V46" s="43">
        <v>4</v>
      </c>
      <c r="W46" s="111">
        <v>500</v>
      </c>
      <c r="X46" s="5"/>
      <c r="Y46" s="5"/>
    </row>
    <row r="47" spans="1:25" ht="15.75" customHeight="1" x14ac:dyDescent="0.25">
      <c r="A47" s="182"/>
      <c r="B47" s="182"/>
      <c r="C47" s="182"/>
      <c r="D47" s="182"/>
      <c r="E47" s="19"/>
      <c r="F47" s="65">
        <f t="shared" si="1"/>
        <v>2025</v>
      </c>
      <c r="G47" s="164"/>
      <c r="H47" s="165"/>
      <c r="I47" s="68">
        <f t="shared" si="0"/>
        <v>1</v>
      </c>
      <c r="J47" s="69">
        <f t="shared" ref="J47:J48" si="15">IF(G47&gt;0,CEILING(MIN($G47,U47)*I47,1),0)</f>
        <v>0</v>
      </c>
      <c r="K47" s="128">
        <f t="shared" ref="K47:K50" si="16">MAX(K46,ROUND(K46*(1+VLOOKUP($F47,odhad,2)/100),0))</f>
        <v>49055</v>
      </c>
      <c r="L47" s="129">
        <f t="shared" ref="L47:L50" si="17">MAX(1,ROUND(1+VLOOKUP($F47+1,odhad,2)/100,4))</f>
        <v>1.05</v>
      </c>
      <c r="M47" s="108">
        <f t="shared" si="7"/>
        <v>20486</v>
      </c>
      <c r="N47" s="109">
        <f t="shared" si="8"/>
        <v>186228</v>
      </c>
      <c r="O47" s="110"/>
      <c r="P47" s="110">
        <v>0.26</v>
      </c>
      <c r="Q47" s="109"/>
      <c r="R47" s="109"/>
      <c r="S47" s="111">
        <f t="shared" si="10"/>
        <v>4660</v>
      </c>
      <c r="T47" s="111">
        <f t="shared" ref="T47:T48" si="18">MAX(CEILING(K45*L45,1),T46)</f>
        <v>46557</v>
      </c>
      <c r="U47" s="111">
        <f t="shared" ref="U47:U48" si="19">T47*V47*12</f>
        <v>2234736</v>
      </c>
      <c r="V47" s="43">
        <v>4</v>
      </c>
      <c r="W47" s="111">
        <v>503</v>
      </c>
      <c r="X47" s="5"/>
      <c r="Y47" s="5"/>
    </row>
    <row r="48" spans="1:25" ht="15" x14ac:dyDescent="0.25">
      <c r="A48" s="182"/>
      <c r="B48" s="182"/>
      <c r="C48" s="182"/>
      <c r="D48" s="182"/>
      <c r="E48" s="19"/>
      <c r="F48" s="65">
        <f t="shared" si="1"/>
        <v>2026</v>
      </c>
      <c r="G48" s="164"/>
      <c r="H48" s="165"/>
      <c r="I48" s="68">
        <f t="shared" si="0"/>
        <v>0.95069999999999999</v>
      </c>
      <c r="J48" s="69">
        <f t="shared" si="15"/>
        <v>0</v>
      </c>
      <c r="K48" s="128">
        <f t="shared" si="16"/>
        <v>51508</v>
      </c>
      <c r="L48" s="129">
        <f t="shared" si="17"/>
        <v>1.04</v>
      </c>
      <c r="M48" s="108">
        <f t="shared" si="7"/>
        <v>21546</v>
      </c>
      <c r="N48" s="109">
        <f t="shared" si="8"/>
        <v>195868</v>
      </c>
      <c r="O48" s="110"/>
      <c r="P48" s="110">
        <v>0.26</v>
      </c>
      <c r="Q48" s="109"/>
      <c r="R48" s="109"/>
      <c r="S48" s="111">
        <f>CEILING($T48*0.1,10)</f>
        <v>4900</v>
      </c>
      <c r="T48" s="111">
        <f t="shared" si="18"/>
        <v>48967</v>
      </c>
      <c r="U48" s="111">
        <f t="shared" si="19"/>
        <v>2350416</v>
      </c>
      <c r="V48" s="43">
        <v>4</v>
      </c>
      <c r="W48" s="111">
        <v>500</v>
      </c>
      <c r="X48" s="5"/>
      <c r="Y48" s="5"/>
    </row>
    <row r="49" spans="1:25" ht="15" customHeight="1" x14ac:dyDescent="0.25">
      <c r="A49" s="182"/>
      <c r="B49" s="182"/>
      <c r="C49" s="182"/>
      <c r="D49" s="182"/>
      <c r="E49" s="19"/>
      <c r="F49" s="65">
        <f t="shared" si="1"/>
        <v>2027</v>
      </c>
      <c r="G49" s="164"/>
      <c r="H49" s="165"/>
      <c r="I49" s="68">
        <f t="shared" ref="I49" si="20">IF(F49=RP-1,1,ROUND($L$7/K49,4))</f>
        <v>0.91410000000000002</v>
      </c>
      <c r="J49" s="69">
        <f t="shared" ref="J49" si="21">IF(G49&gt;0,CEILING(MIN($G49,U49)*I49,1),0)</f>
        <v>0</v>
      </c>
      <c r="K49" s="128">
        <f t="shared" si="16"/>
        <v>53568</v>
      </c>
      <c r="L49" s="129">
        <f t="shared" si="17"/>
        <v>1.03</v>
      </c>
      <c r="M49" s="108">
        <f t="shared" si="7"/>
        <v>22664</v>
      </c>
      <c r="N49" s="109">
        <f t="shared" si="8"/>
        <v>206032</v>
      </c>
      <c r="O49" s="110"/>
      <c r="P49" s="110">
        <v>0.26</v>
      </c>
      <c r="Q49" s="109"/>
      <c r="R49" s="109"/>
      <c r="S49" s="111">
        <f t="shared" si="10"/>
        <v>5160</v>
      </c>
      <c r="T49" s="111">
        <f t="shared" ref="T49" si="22">MAX(CEILING(K47*L47,1),T48)</f>
        <v>51508</v>
      </c>
      <c r="U49" s="111">
        <f t="shared" ref="U49" si="23">T49*V49*12</f>
        <v>2472384</v>
      </c>
      <c r="V49" s="43">
        <v>4</v>
      </c>
      <c r="W49" s="111">
        <v>503</v>
      </c>
      <c r="X49" s="5"/>
      <c r="Y49" s="5"/>
    </row>
    <row r="50" spans="1:25" ht="15" x14ac:dyDescent="0.25">
      <c r="A50" s="152" t="str">
        <f>IF(M56&gt;0,M54&amp;M55,"")</f>
        <v/>
      </c>
      <c r="B50" s="152"/>
      <c r="C50" s="152"/>
      <c r="D50" s="152"/>
      <c r="E50" s="19"/>
      <c r="F50" s="65">
        <f t="shared" si="1"/>
        <v>2028</v>
      </c>
      <c r="G50" s="164"/>
      <c r="H50" s="165"/>
      <c r="I50" s="68">
        <f t="shared" ref="I50" si="24">IF(F50=RP-1,1,ROUND($L$7/K50,4))</f>
        <v>0.88749999999999996</v>
      </c>
      <c r="J50" s="69">
        <f t="shared" ref="J50" si="25">IF(G50&gt;0,CEILING(MIN($G50,U50)*I50,1),0)</f>
        <v>0</v>
      </c>
      <c r="K50" s="128">
        <f t="shared" si="16"/>
        <v>55175</v>
      </c>
      <c r="L50" s="129">
        <f t="shared" si="17"/>
        <v>1.02</v>
      </c>
      <c r="M50" s="108">
        <f t="shared" si="7"/>
        <v>23571</v>
      </c>
      <c r="N50" s="109">
        <f t="shared" si="8"/>
        <v>214276</v>
      </c>
      <c r="O50" s="110"/>
      <c r="P50" s="110">
        <v>0.26</v>
      </c>
      <c r="Q50" s="109"/>
      <c r="R50" s="109"/>
      <c r="S50" s="111">
        <f t="shared" si="10"/>
        <v>5360</v>
      </c>
      <c r="T50" s="111">
        <f t="shared" ref="T50" si="26">MAX(CEILING(K48*L48,1),T49)</f>
        <v>53569</v>
      </c>
      <c r="U50" s="111">
        <f t="shared" ref="U50" si="27">T50*V50*12</f>
        <v>2571312</v>
      </c>
      <c r="V50" s="43">
        <v>4</v>
      </c>
      <c r="W50" s="111">
        <v>503</v>
      </c>
      <c r="X50" s="5"/>
      <c r="Y50" s="5"/>
    </row>
    <row r="51" spans="1:25" ht="15" x14ac:dyDescent="0.25">
      <c r="A51" s="152"/>
      <c r="B51" s="152"/>
      <c r="C51" s="152"/>
      <c r="D51" s="152"/>
      <c r="E51" s="19"/>
      <c r="F51" s="65">
        <f t="shared" si="1"/>
        <v>2029</v>
      </c>
      <c r="G51" s="66"/>
      <c r="H51" s="67"/>
      <c r="I51" s="68"/>
      <c r="J51" s="69"/>
      <c r="K51" s="128"/>
      <c r="L51" s="129"/>
      <c r="M51" s="108"/>
      <c r="N51" s="109"/>
      <c r="O51" s="110"/>
      <c r="P51" s="110"/>
      <c r="Q51" s="109"/>
      <c r="R51" s="109"/>
      <c r="S51" s="111"/>
      <c r="T51" s="111"/>
      <c r="U51" s="111"/>
      <c r="V51" s="43"/>
      <c r="W51" s="111"/>
      <c r="X51" s="5"/>
      <c r="Y51" s="5"/>
    </row>
    <row r="52" spans="1:25" ht="15.75" thickBot="1" x14ac:dyDescent="0.3">
      <c r="A52" s="152"/>
      <c r="B52" s="152"/>
      <c r="C52" s="152"/>
      <c r="D52" s="152"/>
      <c r="E52" s="19"/>
      <c r="F52" s="65"/>
      <c r="G52" s="66"/>
      <c r="H52" s="67"/>
      <c r="I52" s="68"/>
      <c r="J52" s="69"/>
      <c r="K52" s="128"/>
      <c r="L52" s="129"/>
      <c r="M52" s="108">
        <f>VLOOKUP(RP,MTC,8)</f>
        <v>21546</v>
      </c>
      <c r="N52" s="109">
        <f>VLOOKUP(RP,MTC,9)</f>
        <v>195868</v>
      </c>
      <c r="O52" s="110">
        <f>VLOOKUP(RP,MTC,10)</f>
        <v>0</v>
      </c>
      <c r="P52" s="110">
        <f>VLOOKUP(RP,MTC,11)</f>
        <v>0.26</v>
      </c>
      <c r="Q52" s="109">
        <f>VLOOKUP(RP,MTC,12)</f>
        <v>0</v>
      </c>
      <c r="R52" s="109">
        <f>VLOOKUP(RP,MTC,13)</f>
        <v>0</v>
      </c>
      <c r="S52" s="111">
        <f ca="1">IF(ovz&lt;=M52,IF(RP&lt;2026,ovz,0.99*ovz),IF(RP&lt;2026,M52,0.99*M52)+(MIN(ovz,N52)-M52)*P52)</f>
        <v>0</v>
      </c>
      <c r="T52" s="111">
        <f ca="1">IF(OR(ovz&lt;=N52,RP&gt;2014),0,IF(US=0,(ovz-N52)*Q52,(MIN(ovz,O52)-N52)*Q52+IF(ovz&gt;O52,(ovz-O52)*R52,0)))</f>
        <v>0</v>
      </c>
      <c r="U52" s="111"/>
      <c r="V52" s="43"/>
      <c r="W52" s="111"/>
      <c r="X52" s="131"/>
      <c r="Y52" s="131"/>
    </row>
    <row r="53" spans="1:25" ht="15" x14ac:dyDescent="0.25">
      <c r="A53" s="152" t="str">
        <f>IF(RP=2001,"Po 30.6.2001 bylo snížení u předčasného důchodu 0,9% a 1,3%","")</f>
        <v/>
      </c>
      <c r="B53" s="152"/>
      <c r="C53" s="152"/>
      <c r="D53" s="152"/>
      <c r="E53" s="19"/>
      <c r="F53" s="191" t="s">
        <v>78</v>
      </c>
      <c r="G53" s="192"/>
      <c r="H53" s="187" t="str">
        <f>"Parametry výpočtu výše důchodu se podle zákona stanoví na základě statistických údajů o výši průměrné mzdy. Pro důchody přiznané po roce "&amp;maxB&amp;" se proto při výpočtu  musí vycházet z odhadovaného růstu průměrné mzdy. Vámi odhadovaný růst průměrné mzdy vložte prosím do zelených buněk vlevo."</f>
        <v>Parametry výpočtu výše důchodu se podle zákona stanoví na základě statistických údajů o výši průměrné mzdy. Pro důchody přiznané po roce 2026 se proto při výpočtu  musí vycházet z odhadovaného růstu průměrné mzdy. Vámi odhadovaný růst průměrné mzdy vložte prosím do zelených buněk vlevo.</v>
      </c>
      <c r="I53" s="188"/>
      <c r="J53" s="188"/>
      <c r="K53" s="188"/>
      <c r="L53" s="188"/>
      <c r="O53" s="2"/>
      <c r="P53" s="2"/>
      <c r="Q53" s="2"/>
      <c r="R53" s="2"/>
      <c r="S53" s="2"/>
      <c r="T53" s="2"/>
      <c r="U53" s="5"/>
      <c r="V53" s="96"/>
      <c r="W53" s="96"/>
    </row>
    <row r="54" spans="1:25" ht="15" x14ac:dyDescent="0.25">
      <c r="A54" s="152"/>
      <c r="B54" s="152"/>
      <c r="C54" s="152"/>
      <c r="D54" s="152"/>
      <c r="E54" s="19"/>
      <c r="F54" s="193" t="s">
        <v>81</v>
      </c>
      <c r="G54" s="194"/>
      <c r="H54" s="189"/>
      <c r="I54" s="190"/>
      <c r="J54" s="190"/>
      <c r="K54" s="190"/>
      <c r="L54" s="190"/>
      <c r="M54" s="151" t="str">
        <f>IF(RP&gt;maxB,"POZOR ! Opravdu předpokládáte takovýto růst průměrné mzdy?","")</f>
        <v/>
      </c>
      <c r="N54" s="2"/>
      <c r="O54" s="2"/>
      <c r="P54" s="2"/>
      <c r="Q54" s="2"/>
      <c r="R54" s="2"/>
      <c r="S54" s="2"/>
      <c r="T54" s="2"/>
      <c r="U54" s="5"/>
      <c r="V54" s="96"/>
      <c r="W54" s="96"/>
    </row>
    <row r="55" spans="1:25" ht="15.75" thickBot="1" x14ac:dyDescent="0.3">
      <c r="A55" s="152" t="str">
        <f>IF(RP=1996,X9," ")</f>
        <v xml:space="preserve"> </v>
      </c>
      <c r="B55" s="152"/>
      <c r="C55" s="152"/>
      <c r="D55" s="152"/>
      <c r="E55" s="19"/>
      <c r="F55" s="195"/>
      <c r="G55" s="196"/>
      <c r="H55" s="189"/>
      <c r="I55" s="190"/>
      <c r="J55" s="190"/>
      <c r="K55" s="190"/>
      <c r="L55" s="190"/>
      <c r="M55" s="2" t="str">
        <f>O63&amp;O62&amp;O61&amp;O60&amp;O59&amp;O58&amp;O57</f>
        <v xml:space="preserve">       </v>
      </c>
      <c r="N55" s="2"/>
      <c r="O55" s="2"/>
      <c r="P55" s="2"/>
      <c r="Q55" s="2"/>
      <c r="R55" s="2"/>
      <c r="S55" s="2"/>
      <c r="T55" s="5"/>
      <c r="U55" s="96"/>
      <c r="V55" s="5"/>
      <c r="W55" s="5"/>
    </row>
    <row r="56" spans="1:25" ht="15.75" thickBot="1" x14ac:dyDescent="0.3">
      <c r="A56" s="152"/>
      <c r="B56" s="152"/>
      <c r="C56" s="152"/>
      <c r="D56" s="152"/>
      <c r="E56" s="19"/>
      <c r="F56" s="132" t="s">
        <v>79</v>
      </c>
      <c r="G56" s="133" t="s">
        <v>80</v>
      </c>
      <c r="H56" s="189"/>
      <c r="I56" s="190"/>
      <c r="J56" s="190"/>
      <c r="K56" s="190"/>
      <c r="L56" s="190"/>
      <c r="M56" s="143">
        <f>SUM(M64:M64)</f>
        <v>0</v>
      </c>
      <c r="N56" s="11">
        <f>COUNTIF(N64:N64,"&gt;0")</f>
        <v>0</v>
      </c>
      <c r="O56" s="2"/>
      <c r="Q56" s="2" t="s">
        <v>89</v>
      </c>
      <c r="R56" s="2"/>
      <c r="S56" s="2"/>
      <c r="T56" s="5"/>
      <c r="U56" s="96"/>
      <c r="V56" s="5"/>
      <c r="W56" s="5"/>
    </row>
    <row r="57" spans="1:25" ht="15.75" customHeight="1" x14ac:dyDescent="0.25">
      <c r="F57" s="134">
        <f>maxB-1</f>
        <v>2025</v>
      </c>
      <c r="G57" s="178">
        <v>6</v>
      </c>
      <c r="H57" s="189"/>
      <c r="I57" s="190"/>
      <c r="J57" s="190"/>
      <c r="K57" s="190"/>
      <c r="L57" s="190"/>
      <c r="M57" s="11">
        <f>F57*(F57&lt;RP)*(RP&gt;maxB)*OR(G57&lt;R57,G57&gt;R58)</f>
        <v>0</v>
      </c>
      <c r="N57" s="11">
        <f>LARGE($M$57:$M$63,1)</f>
        <v>0</v>
      </c>
      <c r="O57" s="2" t="str">
        <f t="shared" ref="O57:O63" si="28">IF(N57=0," ",N57&amp;"=??  ")</f>
        <v xml:space="preserve"> </v>
      </c>
      <c r="Q57" s="2" t="s">
        <v>90</v>
      </c>
      <c r="R57" s="135">
        <v>0.1</v>
      </c>
      <c r="S57" s="2"/>
      <c r="T57" s="5"/>
      <c r="U57" s="96"/>
      <c r="V57" s="5"/>
      <c r="W57" s="5"/>
    </row>
    <row r="58" spans="1:25" ht="15" x14ac:dyDescent="0.25">
      <c r="F58" s="134">
        <f t="shared" ref="F58:F63" si="29">F57+1</f>
        <v>2026</v>
      </c>
      <c r="G58" s="178">
        <v>5</v>
      </c>
      <c r="H58" s="136"/>
      <c r="I58" s="137"/>
      <c r="J58" s="137"/>
      <c r="K58" s="137"/>
      <c r="L58" s="137"/>
      <c r="M58" s="11">
        <f>F58*(F58&lt;RP)*(RP&gt;maxB)*OR(G58&lt;R57,G58&gt;R58)</f>
        <v>0</v>
      </c>
      <c r="N58" s="11">
        <f>LARGE($M$57:$M$63,2)</f>
        <v>0</v>
      </c>
      <c r="O58" s="2" t="str">
        <f t="shared" si="28"/>
        <v xml:space="preserve"> </v>
      </c>
      <c r="Q58" s="2" t="s">
        <v>91</v>
      </c>
      <c r="R58" s="135">
        <v>9</v>
      </c>
      <c r="S58" s="2"/>
      <c r="T58" s="5"/>
      <c r="U58" s="96"/>
      <c r="V58" s="5"/>
      <c r="W58" s="5"/>
    </row>
    <row r="59" spans="1:25" ht="15" x14ac:dyDescent="0.25">
      <c r="F59" s="134">
        <f t="shared" si="29"/>
        <v>2027</v>
      </c>
      <c r="G59" s="178">
        <v>4</v>
      </c>
      <c r="H59" s="136"/>
      <c r="I59" s="137"/>
      <c r="J59" s="137"/>
      <c r="K59" s="137"/>
      <c r="L59" s="137"/>
      <c r="M59" s="11">
        <f>F59*(F59&lt;RP)*(RP&gt;maxB)*OR(G59&lt;R57,G59&gt;R58)</f>
        <v>0</v>
      </c>
      <c r="N59" s="11">
        <f>LARGE($M$57:$M$63,3)</f>
        <v>0</v>
      </c>
      <c r="O59" s="2" t="str">
        <f t="shared" si="28"/>
        <v xml:space="preserve"> </v>
      </c>
      <c r="P59" s="2"/>
      <c r="Q59" s="2"/>
      <c r="R59" s="2"/>
      <c r="S59" s="2"/>
      <c r="T59" s="5"/>
      <c r="U59" s="5"/>
      <c r="V59" s="5"/>
      <c r="W59" s="5"/>
    </row>
    <row r="60" spans="1:25" ht="15" x14ac:dyDescent="0.25">
      <c r="F60" s="134">
        <f t="shared" si="29"/>
        <v>2028</v>
      </c>
      <c r="G60" s="178">
        <v>3</v>
      </c>
      <c r="H60" s="136"/>
      <c r="I60" s="137"/>
      <c r="J60" s="137"/>
      <c r="K60" s="137"/>
      <c r="L60" s="137"/>
      <c r="M60" s="11">
        <f>F60*(F60&lt;RP)*(RP&gt;maxB)*OR(G60&lt;R57,G60&gt;R58)</f>
        <v>0</v>
      </c>
      <c r="N60" s="11">
        <f>LARGE($M$57:$M$63,4)</f>
        <v>0</v>
      </c>
      <c r="O60" s="2" t="str">
        <f t="shared" si="28"/>
        <v xml:space="preserve"> </v>
      </c>
      <c r="P60" s="2"/>
      <c r="Q60" s="2"/>
      <c r="R60" s="2"/>
      <c r="S60" s="2"/>
      <c r="T60" s="5"/>
      <c r="U60" s="5"/>
      <c r="V60" s="5"/>
      <c r="W60" s="5"/>
    </row>
    <row r="61" spans="1:25" ht="15" x14ac:dyDescent="0.25">
      <c r="F61" s="134">
        <f t="shared" si="29"/>
        <v>2029</v>
      </c>
      <c r="G61" s="178">
        <v>2</v>
      </c>
      <c r="H61" s="136"/>
      <c r="I61" s="137"/>
      <c r="J61" s="137"/>
      <c r="K61" s="137"/>
      <c r="L61" s="137"/>
      <c r="M61" s="11">
        <f>F61*(F61&lt;RP)*(RP&gt;maxB)*OR(G61&lt;R57,G61&gt;R58)</f>
        <v>0</v>
      </c>
      <c r="N61" s="11">
        <f>LARGE($M$57:$M$63,5)</f>
        <v>0</v>
      </c>
      <c r="O61" s="2" t="str">
        <f t="shared" si="28"/>
        <v xml:space="preserve"> </v>
      </c>
      <c r="P61" s="2"/>
      <c r="Q61" s="2"/>
      <c r="R61" s="2"/>
      <c r="S61" s="2"/>
      <c r="T61" s="5"/>
      <c r="U61" s="5"/>
      <c r="V61" s="5"/>
      <c r="W61" s="5"/>
    </row>
    <row r="62" spans="1:25" ht="15" x14ac:dyDescent="0.25">
      <c r="F62" s="134">
        <f t="shared" si="29"/>
        <v>2030</v>
      </c>
      <c r="G62" s="135">
        <v>1</v>
      </c>
      <c r="H62" s="136"/>
      <c r="I62" s="137"/>
      <c r="J62" s="137"/>
      <c r="K62" s="137"/>
      <c r="L62" s="137"/>
      <c r="M62" s="11">
        <f>F62*(F62&lt;RP)*(RP&gt;maxB)*OR(G62&lt;R57,G62&gt;R58)</f>
        <v>0</v>
      </c>
      <c r="N62" s="11">
        <f>LARGE($M$57:$M$63,6)</f>
        <v>0</v>
      </c>
      <c r="O62" s="2" t="str">
        <f t="shared" si="28"/>
        <v xml:space="preserve"> </v>
      </c>
      <c r="P62" s="2"/>
      <c r="Q62" s="2"/>
      <c r="R62" s="2"/>
      <c r="S62" s="2"/>
      <c r="T62" s="5"/>
      <c r="U62" s="5"/>
      <c r="V62" s="5"/>
      <c r="W62" s="5"/>
    </row>
    <row r="63" spans="1:25" ht="15" x14ac:dyDescent="0.25">
      <c r="F63" s="134">
        <f t="shared" si="29"/>
        <v>2031</v>
      </c>
      <c r="G63" s="135">
        <v>0</v>
      </c>
      <c r="H63" s="136"/>
      <c r="I63" s="137"/>
      <c r="J63" s="137"/>
      <c r="K63" s="137"/>
      <c r="L63" s="137"/>
      <c r="M63" s="11">
        <f>F63*(F63&lt;RP)*(RP&gt;maxB)*OR(G63&lt;R57,G63&gt;R58)</f>
        <v>0</v>
      </c>
      <c r="N63" s="11">
        <f>LARGE($M$57:$M$63,7)</f>
        <v>0</v>
      </c>
      <c r="O63" s="2" t="str">
        <f t="shared" si="28"/>
        <v xml:space="preserve"> </v>
      </c>
      <c r="P63" s="2"/>
      <c r="Q63" s="2"/>
      <c r="R63" s="2"/>
      <c r="S63" s="2"/>
      <c r="T63" s="2"/>
      <c r="U63" s="5"/>
      <c r="V63" s="5"/>
      <c r="W63" s="5"/>
    </row>
    <row r="64" spans="1:25" ht="15" thickBot="1" x14ac:dyDescent="0.25">
      <c r="F64" s="138"/>
      <c r="G64" s="139" t="s">
        <v>92</v>
      </c>
      <c r="H64" s="140"/>
      <c r="I64" s="140"/>
      <c r="J64" s="140"/>
      <c r="K64" s="140"/>
      <c r="L64" s="140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</row>
    <row r="69" spans="1:1" x14ac:dyDescent="0.2">
      <c r="A69" s="149"/>
    </row>
  </sheetData>
  <sheetProtection algorithmName="SHA-512" hashValue="ftEvWZ7yhWN2GgyejaYFF2hvo1OxrBzzUvTRcSHMco5lhauZndYYm8ntK2yL7jtBHGRhG37+BlamBqhTErWLeQ==" saltValue="h/kw5co7Pnj9j1Ts9/nqyA==" spinCount="100000" sheet="1" selectLockedCells="1"/>
  <mergeCells count="7">
    <mergeCell ref="H53:L57"/>
    <mergeCell ref="F53:G53"/>
    <mergeCell ref="F54:G55"/>
    <mergeCell ref="V5:V6"/>
    <mergeCell ref="B1:K1"/>
    <mergeCell ref="A2:J2"/>
    <mergeCell ref="A19:C22"/>
  </mergeCells>
  <phoneticPr fontId="0" type="noConversion"/>
  <conditionalFormatting sqref="A45">
    <cfRule type="expression" dxfId="75" priority="135" stopIfTrue="1">
      <formula>RP&gt;maxB</formula>
    </cfRule>
  </conditionalFormatting>
  <conditionalFormatting sqref="A50">
    <cfRule type="expression" dxfId="74" priority="155" stopIfTrue="1">
      <formula>M56&gt;0</formula>
    </cfRule>
  </conditionalFormatting>
  <conditionalFormatting sqref="A39:D42">
    <cfRule type="expression" dxfId="73" priority="137" stopIfTrue="1">
      <formula>RP&gt;maxB</formula>
    </cfRule>
    <cfRule type="expression" dxfId="72" priority="136" stopIfTrue="1">
      <formula>OR($X$3&gt;2,RP&gt;max)</formula>
    </cfRule>
  </conditionalFormatting>
  <conditionalFormatting sqref="D7 D10:D11">
    <cfRule type="cellIs" dxfId="71" priority="129" stopIfTrue="1" operator="lessThan">
      <formula>0</formula>
    </cfRule>
  </conditionalFormatting>
  <conditionalFormatting sqref="D13 D15">
    <cfRule type="cellIs" dxfId="70" priority="134" stopIfTrue="1" operator="lessThan">
      <formula>0</formula>
    </cfRule>
    <cfRule type="expression" dxfId="69" priority="133" stopIfTrue="1">
      <formula>RP&lt;2010</formula>
    </cfRule>
  </conditionalFormatting>
  <conditionalFormatting sqref="D22">
    <cfRule type="expression" dxfId="68" priority="1">
      <formula>$A$19&lt;&gt;""</formula>
    </cfRule>
    <cfRule type="cellIs" dxfId="67" priority="2" stopIfTrue="1" operator="lessThan">
      <formula>0</formula>
    </cfRule>
  </conditionalFormatting>
  <conditionalFormatting sqref="D24">
    <cfRule type="expression" dxfId="66" priority="28" stopIfTrue="1">
      <formula>RP&lt;2023</formula>
    </cfRule>
    <cfRule type="cellIs" dxfId="65" priority="29" stopIfTrue="1" operator="lessThan">
      <formula>0</formula>
    </cfRule>
  </conditionalFormatting>
  <conditionalFormatting sqref="D30">
    <cfRule type="expression" dxfId="64" priority="153" stopIfTrue="1">
      <formula>#REF!&gt;MAX($J:$J)+1</formula>
    </cfRule>
  </conditionalFormatting>
  <conditionalFormatting sqref="D4:H4">
    <cfRule type="expression" dxfId="63" priority="65" stopIfTrue="1">
      <formula>AND(RP&gt;maxB,RP&lt;max+1)</formula>
    </cfRule>
    <cfRule type="expression" dxfId="62" priority="64" stopIfTrue="1">
      <formula>OR(RP&lt;2004,RP&gt;max)</formula>
    </cfRule>
  </conditionalFormatting>
  <conditionalFormatting sqref="F57:G64 M64:Y64">
    <cfRule type="expression" dxfId="61" priority="141" stopIfTrue="1">
      <formula>OR(RP&lt;maxB+1,$F57&gt;RP-1)</formula>
    </cfRule>
  </conditionalFormatting>
  <conditionalFormatting sqref="F8:J52">
    <cfRule type="expression" dxfId="60" priority="52" stopIfTrue="1">
      <formula>OR($F8&gt;=RP,$F8=0)</formula>
    </cfRule>
  </conditionalFormatting>
  <conditionalFormatting sqref="F44:J44">
    <cfRule type="expression" dxfId="59" priority="109" stopIfTrue="1">
      <formula>RP&lt;1996</formula>
    </cfRule>
  </conditionalFormatting>
  <conditionalFormatting sqref="F47:J47 F48:W52 F8:W42">
    <cfRule type="expression" dxfId="58" priority="127" stopIfTrue="1">
      <formula>RP&lt;1996</formula>
    </cfRule>
  </conditionalFormatting>
  <conditionalFormatting sqref="F47:J52">
    <cfRule type="expression" dxfId="57" priority="124" stopIfTrue="1">
      <formula>OR($F47&gt;=RP,$F47=0)</formula>
    </cfRule>
  </conditionalFormatting>
  <conditionalFormatting sqref="F49:J52">
    <cfRule type="expression" dxfId="56" priority="53" stopIfTrue="1">
      <formula>RP&lt;1996</formula>
    </cfRule>
    <cfRule type="expression" dxfId="55" priority="41" stopIfTrue="1">
      <formula>RP&lt;1996</formula>
    </cfRule>
    <cfRule type="expression" dxfId="54" priority="40" stopIfTrue="1">
      <formula>OR($F49&gt;=RP,$F49=0)</formula>
    </cfRule>
  </conditionalFormatting>
  <conditionalFormatting sqref="F43:K43 K44">
    <cfRule type="expression" dxfId="53" priority="115" stopIfTrue="1">
      <formula>RP&lt;1996</formula>
    </cfRule>
  </conditionalFormatting>
  <conditionalFormatting sqref="F46:L48">
    <cfRule type="expression" dxfId="52" priority="61" stopIfTrue="1">
      <formula>RP&lt;1996</formula>
    </cfRule>
  </conditionalFormatting>
  <conditionalFormatting sqref="F45:T45">
    <cfRule type="expression" dxfId="51" priority="94" stopIfTrue="1">
      <formula>RP&lt;1996</formula>
    </cfRule>
  </conditionalFormatting>
  <conditionalFormatting sqref="H53 F53:F54 F56:G56">
    <cfRule type="expression" dxfId="50" priority="140" stopIfTrue="1">
      <formula>RP&lt;maxB+1</formula>
    </cfRule>
  </conditionalFormatting>
  <conditionalFormatting sqref="I3">
    <cfRule type="expression" dxfId="49" priority="4">
      <formula>RP=2024</formula>
    </cfRule>
  </conditionalFormatting>
  <conditionalFormatting sqref="J3">
    <cfRule type="expression" dxfId="48" priority="126" stopIfTrue="1">
      <formula>$D$3&lt;&gt;2011</formula>
    </cfRule>
    <cfRule type="expression" dxfId="47" priority="125" stopIfTrue="1">
      <formula>$D$3=2011</formula>
    </cfRule>
  </conditionalFormatting>
  <conditionalFormatting sqref="K43:K44">
    <cfRule type="expression" dxfId="46" priority="112" stopIfTrue="1">
      <formula>OR($F43&gt;RP-2,$F43=0)</formula>
    </cfRule>
  </conditionalFormatting>
  <conditionalFormatting sqref="K8:L42">
    <cfRule type="expression" dxfId="45" priority="120" stopIfTrue="1">
      <formula>OR($F8&gt;RP-2,$F8=0)</formula>
    </cfRule>
  </conditionalFormatting>
  <conditionalFormatting sqref="K45:L49">
    <cfRule type="expression" dxfId="44" priority="47" stopIfTrue="1">
      <formula>OR($F45&gt;RP-2,$F45=0)</formula>
    </cfRule>
  </conditionalFormatting>
  <conditionalFormatting sqref="K47:L52">
    <cfRule type="expression" dxfId="43" priority="77" stopIfTrue="1">
      <formula>OR($F47&gt;RP-2,$F47=0)</formula>
    </cfRule>
  </conditionalFormatting>
  <conditionalFormatting sqref="K49:L49">
    <cfRule type="expression" dxfId="42" priority="49" stopIfTrue="1">
      <formula>RP&lt;1996</formula>
    </cfRule>
    <cfRule type="expression" dxfId="41" priority="37" stopIfTrue="1">
      <formula>RP&lt;1996</formula>
    </cfRule>
  </conditionalFormatting>
  <conditionalFormatting sqref="K49:L51">
    <cfRule type="expression" dxfId="40" priority="33" stopIfTrue="1">
      <formula>OR($F49&gt;RP-2,$F49=0)</formula>
    </cfRule>
  </conditionalFormatting>
  <conditionalFormatting sqref="K50:L51">
    <cfRule type="expression" dxfId="39" priority="32" stopIfTrue="1">
      <formula>RP&lt;1996</formula>
    </cfRule>
    <cfRule type="expression" dxfId="38" priority="31" stopIfTrue="1">
      <formula>OR($F50&gt;RP-2,$F50=0)</formula>
    </cfRule>
    <cfRule type="expression" dxfId="37" priority="15" stopIfTrue="1">
      <formula>RP&lt;1996</formula>
    </cfRule>
    <cfRule type="expression" dxfId="36" priority="14" stopIfTrue="1">
      <formula>OR($F50&gt;RP-2,$F50=0)</formula>
    </cfRule>
    <cfRule type="expression" dxfId="35" priority="34" stopIfTrue="1">
      <formula>RP&lt;1996</formula>
    </cfRule>
  </conditionalFormatting>
  <conditionalFormatting sqref="K50:L52">
    <cfRule type="expression" dxfId="34" priority="11" stopIfTrue="1">
      <formula>RP&lt;1996</formula>
    </cfRule>
    <cfRule type="expression" dxfId="33" priority="10" stopIfTrue="1">
      <formula>OR($F50&gt;RP-2,$F50=0)</formula>
    </cfRule>
  </conditionalFormatting>
  <conditionalFormatting sqref="K52:L52">
    <cfRule type="expression" dxfId="32" priority="9" stopIfTrue="1">
      <formula>RP&lt;1996</formula>
    </cfRule>
    <cfRule type="expression" dxfId="31" priority="8" stopIfTrue="1">
      <formula>OR($F52&gt;RP-2,$F52=0)</formula>
    </cfRule>
  </conditionalFormatting>
  <conditionalFormatting sqref="K47:T47">
    <cfRule type="expression" dxfId="30" priority="79" stopIfTrue="1">
      <formula>RP&lt;1996</formula>
    </cfRule>
  </conditionalFormatting>
  <conditionalFormatting sqref="L38">
    <cfRule type="expression" dxfId="29" priority="142" stopIfTrue="1">
      <formula>OR($F36&gt;=RP,$F36=0)</formula>
    </cfRule>
  </conditionalFormatting>
  <conditionalFormatting sqref="L43:L45">
    <cfRule type="expression" dxfId="28" priority="104" stopIfTrue="1">
      <formula>OR($F43&gt;RP-2,$F43=0)</formula>
    </cfRule>
    <cfRule type="expression" dxfId="27" priority="105" stopIfTrue="1">
      <formula>RP&lt;1996</formula>
    </cfRule>
  </conditionalFormatting>
  <conditionalFormatting sqref="L46:L48">
    <cfRule type="expression" dxfId="26" priority="63" stopIfTrue="1">
      <formula>RP&lt;1996</formula>
    </cfRule>
    <cfRule type="expression" dxfId="25" priority="60" stopIfTrue="1">
      <formula>OR($F46&gt;RP,$F46=0)</formula>
    </cfRule>
    <cfRule type="expression" dxfId="24" priority="62" stopIfTrue="1">
      <formula>OR($F46&gt;RP-2,$F46=0)</formula>
    </cfRule>
  </conditionalFormatting>
  <conditionalFormatting sqref="L49:L52">
    <cfRule type="expression" dxfId="23" priority="38" stopIfTrue="1">
      <formula>OR($F49&gt;RP-2,$F49=0)</formula>
    </cfRule>
    <cfRule type="expression" dxfId="22" priority="50" stopIfTrue="1">
      <formula>OR($F49&gt;RP-2,$F49=0)</formula>
    </cfRule>
  </conditionalFormatting>
  <conditionalFormatting sqref="L45:T45">
    <cfRule type="expression" dxfId="21" priority="92" stopIfTrue="1">
      <formula>OR($F45&gt;RP,$F45=0)</formula>
    </cfRule>
  </conditionalFormatting>
  <conditionalFormatting sqref="L47:T47">
    <cfRule type="expression" dxfId="20" priority="78" stopIfTrue="1">
      <formula>OR($F47&gt;RP,$F47=0)</formula>
    </cfRule>
  </conditionalFormatting>
  <conditionalFormatting sqref="L49:V52">
    <cfRule type="expression" dxfId="19" priority="51" stopIfTrue="1">
      <formula>RP&lt;1996</formula>
    </cfRule>
    <cfRule type="expression" dxfId="18" priority="48" stopIfTrue="1">
      <formula>OR($F49&gt;RP,$F49=0)</formula>
    </cfRule>
    <cfRule type="expression" dxfId="17" priority="39" stopIfTrue="1">
      <formula>RP&lt;1996</formula>
    </cfRule>
    <cfRule type="expression" dxfId="16" priority="36" stopIfTrue="1">
      <formula>OR($F49&gt;RP,$F49=0)</formula>
    </cfRule>
  </conditionalFormatting>
  <conditionalFormatting sqref="L48:W52">
    <cfRule type="expression" dxfId="15" priority="121" stopIfTrue="1">
      <formula>OR($F48&gt;RP,$F48=0)</formula>
    </cfRule>
  </conditionalFormatting>
  <conditionalFormatting sqref="M46:V48">
    <cfRule type="expression" dxfId="14" priority="83" stopIfTrue="1">
      <formula>OR($F46&gt;RP,$F46=0)</formula>
    </cfRule>
    <cfRule type="expression" dxfId="13" priority="84" stopIfTrue="1">
      <formula>RP&lt;1996</formula>
    </cfRule>
  </conditionalFormatting>
  <conditionalFormatting sqref="M8:W44">
    <cfRule type="expression" dxfId="12" priority="26" stopIfTrue="1">
      <formula>OR($F8&gt;RP,$F8=0)</formula>
    </cfRule>
  </conditionalFormatting>
  <conditionalFormatting sqref="M43:W44">
    <cfRule type="expression" dxfId="11" priority="27" stopIfTrue="1">
      <formula>RP&lt;1996</formula>
    </cfRule>
  </conditionalFormatting>
  <conditionalFormatting sqref="R57:R58">
    <cfRule type="expression" dxfId="10" priority="82" stopIfTrue="1">
      <formula>OR(RP&lt;maxB+1,$F57&gt;RP-1)</formula>
    </cfRule>
  </conditionalFormatting>
  <conditionalFormatting sqref="U45:W45">
    <cfRule type="expression" dxfId="9" priority="25" stopIfTrue="1">
      <formula>RP&lt;1996</formula>
    </cfRule>
    <cfRule type="expression" dxfId="8" priority="24" stopIfTrue="1">
      <formula>OR($F45&gt;RP,$F45=0)</formula>
    </cfRule>
  </conditionalFormatting>
  <conditionalFormatting sqref="U47:W47">
    <cfRule type="expression" dxfId="7" priority="21" stopIfTrue="1">
      <formula>RP&lt;1996</formula>
    </cfRule>
    <cfRule type="expression" dxfId="6" priority="20" stopIfTrue="1">
      <formula>OR($F47&gt;RP,$F47=0)</formula>
    </cfRule>
  </conditionalFormatting>
  <conditionalFormatting sqref="W46:W48">
    <cfRule type="expression" dxfId="5" priority="23" stopIfTrue="1">
      <formula>RP&lt;1996</formula>
    </cfRule>
    <cfRule type="expression" dxfId="4" priority="22" stopIfTrue="1">
      <formula>OR($F46&gt;RP,$F46=0)</formula>
    </cfRule>
  </conditionalFormatting>
  <conditionalFormatting sqref="W49:W52">
    <cfRule type="expression" dxfId="3" priority="19" stopIfTrue="1">
      <formula>RP&lt;1996</formula>
    </cfRule>
    <cfRule type="expression" dxfId="2" priority="18" stopIfTrue="1">
      <formula>OR($F49&gt;RP,$F49=0)</formula>
    </cfRule>
    <cfRule type="expression" dxfId="1" priority="17" stopIfTrue="1">
      <formula>RP&lt;1996</formula>
    </cfRule>
    <cfRule type="expression" dxfId="0" priority="16" stopIfTrue="1">
      <formula>OR($F49&gt;RP,$F49=0)</formula>
    </cfRule>
  </conditionalFormatting>
  <dataValidations count="3">
    <dataValidation type="list" allowBlank="1" showInputMessage="1" showErrorMessage="1" sqref="I3" xr:uid="{73DE1010-17E1-4E28-A227-09B7677842FA}">
      <formula1>$Y$3:$Y$14</formula1>
    </dataValidation>
    <dataValidation type="whole" allowBlank="1" showInputMessage="1" showErrorMessage="1" sqref="D3" xr:uid="{5A2ADFD9-7AF8-4929-9398-9F686E57BF82}">
      <formula1>2004</formula1>
      <formula2>max</formula2>
    </dataValidation>
    <dataValidation type="list" allowBlank="1" showInputMessage="1" showErrorMessage="1" sqref="D22" xr:uid="{7D57D432-9287-45BB-A63D-1FDD723B32E3}">
      <formula1>$Z$27:$Z$28</formula1>
    </dataValidation>
  </dataValidations>
  <printOptions horizontalCentered="1"/>
  <pageMargins left="0.39370078740157483" right="0.39370078740157483" top="0.39370078740157483" bottom="0.39370078740157483" header="0" footer="0.19685039370078741"/>
  <pageSetup paperSize="9" scale="72" orientation="portrait" r:id="rId1"/>
  <headerFooter alignWithMargins="0">
    <oddFooter>&amp;L&amp;"Times New Roman CE,Obyčejné"&amp;8MPSV - 713 - pb - &amp;F - &amp;A -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9EA1643D8A4B4D969EC84C2073BAF4" ma:contentTypeVersion="6" ma:contentTypeDescription="Vytvoří nový dokument" ma:contentTypeScope="" ma:versionID="3abad0c558307f5930df938b0e0eaa23">
  <xsd:schema xmlns:xsd="http://www.w3.org/2001/XMLSchema" xmlns:xs="http://www.w3.org/2001/XMLSchema" xmlns:p="http://schemas.microsoft.com/office/2006/metadata/properties" xmlns:ns2="a680139f-382f-4f2a-8613-e07d0532343e" xmlns:ns3="35718c6c-af8f-4412-96c6-0b40d9ac0a93" targetNamespace="http://schemas.microsoft.com/office/2006/metadata/properties" ma:root="true" ma:fieldsID="d65fbc831e46628f7256d40e722eb75f" ns2:_="" ns3:_="">
    <xsd:import namespace="a680139f-382f-4f2a-8613-e07d0532343e"/>
    <xsd:import namespace="35718c6c-af8f-4412-96c6-0b40d9ac0a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80139f-382f-4f2a-8613-e07d053234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18c6c-af8f-4412-96c6-0b40d9ac0a9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93D072-F9AE-4473-9E33-1BB99993CC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80139f-382f-4f2a-8613-e07d0532343e"/>
    <ds:schemaRef ds:uri="35718c6c-af8f-4412-96c6-0b40d9ac0a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250229-1AEE-446F-990C-B77BA1FA58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5CA7D9-3114-4C84-AAAB-D6A22523C214}">
  <ds:schemaRefs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a680139f-382f-4f2a-8613-e07d0532343e"/>
    <ds:schemaRef ds:uri="http://purl.org/dc/elements/1.1/"/>
    <ds:schemaRef ds:uri="35718c6c-af8f-4412-96c6-0b40d9ac0a9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9</vt:i4>
      </vt:variant>
    </vt:vector>
  </HeadingPairs>
  <TitlesOfParts>
    <vt:vector size="10" baseType="lpstr">
      <vt:lpstr>vyse_duchodu</vt:lpstr>
      <vt:lpstr>Krácení</vt:lpstr>
      <vt:lpstr>max</vt:lpstr>
      <vt:lpstr>maxB</vt:lpstr>
      <vt:lpstr>MP</vt:lpstr>
      <vt:lpstr>MTC</vt:lpstr>
      <vt:lpstr>odhad</vt:lpstr>
      <vt:lpstr>ovz</vt:lpstr>
      <vt:lpstr>RP</vt:lpstr>
      <vt:lpstr>US</vt:lpstr>
    </vt:vector>
  </TitlesOfParts>
  <Company>MPVS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šablona sešitu PB</dc:title>
  <dc:creator>Böss Petr (MPSV)</dc:creator>
  <cp:lastModifiedBy>Suchomel Marek Ing. (MPSV)</cp:lastModifiedBy>
  <cp:lastPrinted>2020-09-03T20:16:42Z</cp:lastPrinted>
  <dcterms:created xsi:type="dcterms:W3CDTF">1998-09-24T06:59:17Z</dcterms:created>
  <dcterms:modified xsi:type="dcterms:W3CDTF">2025-10-09T09:16:21Z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0x0101002D9EA1643D8A4B4D969EC84C2073BAF4</vt:lpwstr>
  </property>
</Properties>
</file>